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75" windowWidth="7560" windowHeight="8160" activeTab="2"/>
  </bookViews>
  <sheets>
    <sheet name="Índex" sheetId="1" r:id="rId1"/>
    <sheet name="03.06.01.01" sheetId="2" r:id="rId2"/>
    <sheet name="03.06.01.02" sheetId="3" r:id="rId3"/>
    <sheet name="03.06.01.03" sheetId="4" r:id="rId4"/>
    <sheet name="03.06.02.01" sheetId="5" r:id="rId5"/>
    <sheet name="03.06.02.02" sheetId="6" r:id="rId6"/>
    <sheet name="03.06.02.03" sheetId="7" r:id="rId7"/>
    <sheet name="03.06.03.01" sheetId="8" r:id="rId8"/>
    <sheet name="03.06.03.02" sheetId="9" r:id="rId9"/>
    <sheet name="03.06.03.03" sheetId="10" r:id="rId10"/>
  </sheets>
  <definedNames/>
  <calcPr fullCalcOnLoad="1"/>
</workbook>
</file>

<file path=xl/sharedStrings.xml><?xml version="1.0" encoding="utf-8"?>
<sst xmlns="http://schemas.openxmlformats.org/spreadsheetml/2006/main" count="189" uniqueCount="128">
  <si>
    <t>03. SECTORS ECONÒMICS</t>
  </si>
  <si>
    <t>Parc de vehicles</t>
  </si>
  <si>
    <t>Usos del transport públic</t>
  </si>
  <si>
    <t>Transport</t>
  </si>
  <si>
    <t>03.06.</t>
  </si>
  <si>
    <t>03.06.01</t>
  </si>
  <si>
    <t>03.06.02</t>
  </si>
  <si>
    <t>03.06.03</t>
  </si>
  <si>
    <t>Usos del transport públic en Viladecans</t>
  </si>
  <si>
    <t>Desplaçaments línies d'autobús últim any</t>
  </si>
  <si>
    <t>Vehicles segons tipologia</t>
  </si>
  <si>
    <t>Índex de motorització</t>
  </si>
  <si>
    <t>Vehicles segons anys d'antiguitat</t>
  </si>
  <si>
    <t>03.06.01.01</t>
  </si>
  <si>
    <t>03.06.01.02</t>
  </si>
  <si>
    <t>03.06.01.03</t>
  </si>
  <si>
    <t>03.06.02.01</t>
  </si>
  <si>
    <t>03.06.02.02</t>
  </si>
  <si>
    <t>Any</t>
  </si>
  <si>
    <t>Turismes</t>
  </si>
  <si>
    <t>Camions</t>
  </si>
  <si>
    <t>Ciclomotors</t>
  </si>
  <si>
    <t>Motocicletes</t>
  </si>
  <si>
    <t>Autocars/bus</t>
  </si>
  <si>
    <t>Remolcs</t>
  </si>
  <si>
    <t>Tractors</t>
  </si>
  <si>
    <t>Total</t>
  </si>
  <si>
    <t>Nota: Els totals estan expresats en tant per mil (‰)</t>
  </si>
  <si>
    <t>Anys d'antiguitat</t>
  </si>
  <si>
    <t xml:space="preserve">Més de 15 </t>
  </si>
  <si>
    <t xml:space="preserve">De 11 a 15 </t>
  </si>
  <si>
    <t>10 anys</t>
  </si>
  <si>
    <t>Sense concretar</t>
  </si>
  <si>
    <t>Desplaçaments</t>
  </si>
  <si>
    <t>Autobusos</t>
  </si>
  <si>
    <t>VB1</t>
  </si>
  <si>
    <t>VB2</t>
  </si>
  <si>
    <t>VB3</t>
  </si>
  <si>
    <t>VB4</t>
  </si>
  <si>
    <t>Total Vilabús</t>
  </si>
  <si>
    <t>Mitjana diària viatges</t>
  </si>
  <si>
    <t>L80</t>
  </si>
  <si>
    <t>L81</t>
  </si>
  <si>
    <t>L82</t>
  </si>
  <si>
    <t>L85</t>
  </si>
  <si>
    <t>L86</t>
  </si>
  <si>
    <t>L87</t>
  </si>
  <si>
    <t>L88</t>
  </si>
  <si>
    <t>L96</t>
  </si>
  <si>
    <t>L97</t>
  </si>
  <si>
    <t>L99</t>
  </si>
  <si>
    <t>Total Línies diürnes**</t>
  </si>
  <si>
    <t>N14</t>
  </si>
  <si>
    <t>N16</t>
  </si>
  <si>
    <t>Total Línies nocturnes**</t>
  </si>
  <si>
    <t>**Línies d'autobús que tenen parada a Viladecans. Es comptabilitzen el total de passatgers de la línia</t>
  </si>
  <si>
    <t>Font: Ajuntament de Viladecans. Medi Ambient i Espai Públic</t>
  </si>
  <si>
    <t>Març</t>
  </si>
  <si>
    <t>Total diürn**</t>
  </si>
  <si>
    <t>Total nocturn**</t>
  </si>
  <si>
    <t>TOTALS</t>
  </si>
  <si>
    <t>Mitjana/dia</t>
  </si>
  <si>
    <t>Font: Ajuntament de Viladecans. Espai Públic</t>
  </si>
  <si>
    <t>**Línies d'autobús que tenen parada a Viladecans. Es comptabilitza el total de passatgers de la línia</t>
  </si>
  <si>
    <t>03.06. Transport</t>
  </si>
  <si>
    <t>03.06.01. Parc de vehicles</t>
  </si>
  <si>
    <t>03.06.01.01.Vehicles segons tipologia</t>
  </si>
  <si>
    <t>03.06.01.03.</t>
  </si>
  <si>
    <t>03.06.02. Usos del transport públic</t>
  </si>
  <si>
    <t>03.06.02.01. Usos del transport públic en Viladecans</t>
  </si>
  <si>
    <t>Més de 15 anys</t>
  </si>
  <si>
    <t>D'11 a 15 anys</t>
  </si>
  <si>
    <t>De 6 a 10 anys</t>
  </si>
  <si>
    <t>De1 a 5 anys</t>
  </si>
  <si>
    <t>Índex</t>
  </si>
  <si>
    <t>Font: Ajuntament de Viladecans. Gestió Tributària</t>
  </si>
  <si>
    <t>Font: Ajuntament de Viladecans. Diputació de Barcelona. Impost VehIcles Tracció Mecànica.</t>
  </si>
  <si>
    <t>Font: Ajuntament de Viladecans. Diputació de Barcelona. Impost Vehicles Tracció Mecànica.</t>
  </si>
  <si>
    <t>Accidents de trànsit amb víctimes</t>
  </si>
  <si>
    <t>Gen</t>
  </si>
  <si>
    <t>Feb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</si>
  <si>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</si>
  <si>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</si>
  <si>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</si>
  <si>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</si>
  <si>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</si>
  <si>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</si>
  <si>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</si>
  <si>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</si>
  <si>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</si>
  <si>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Despla-çaments</t>
  </si>
  <si>
    <t xml:space="preserve"> VB4- Servei platja</t>
  </si>
  <si>
    <t>03.06.01.02. Índex de Motorització. Viladecans. 1998-2019</t>
  </si>
  <si>
    <t>03.06.02.02. Desplaçaments línies d'autobús 2019</t>
  </si>
  <si>
    <t>E81</t>
  </si>
  <si>
    <t>E86</t>
  </si>
  <si>
    <t>E98</t>
  </si>
  <si>
    <t xml:space="preserve"> </t>
  </si>
  <si>
    <t>Autopista</t>
  </si>
  <si>
    <t>Autovia</t>
  </si>
  <si>
    <t>Carretera</t>
  </si>
  <si>
    <t>Altres</t>
  </si>
  <si>
    <t>Accident lleu</t>
  </si>
  <si>
    <t>Accident greu</t>
  </si>
  <si>
    <t>Accident mortal</t>
  </si>
  <si>
    <t>03.06.03.01 Nombre de ferits segons la gravetat</t>
  </si>
  <si>
    <t>Ferits Lleus</t>
  </si>
  <si>
    <t>Ferits Greus</t>
  </si>
  <si>
    <t>Ferits Morts</t>
  </si>
  <si>
    <t>Total víctimes accident trànsit</t>
  </si>
  <si>
    <t>Font: OC-BL a partir del portal de dades obertes de la Generalitat de Catalunya.</t>
  </si>
  <si>
    <t>Font: OC-BL consulta directa al Servei Català de Trànsit</t>
  </si>
  <si>
    <t>Zona urbana</t>
  </si>
  <si>
    <t>Total general</t>
  </si>
  <si>
    <t>-</t>
  </si>
  <si>
    <t>2009-2019</t>
  </si>
  <si>
    <t>2010-2018</t>
  </si>
  <si>
    <t>03.06.02.03. Desplaçaments en línies expres 2019</t>
  </si>
  <si>
    <t>03.06.02.03</t>
  </si>
  <si>
    <t>Desplaçaments en línies expres 2019</t>
  </si>
  <si>
    <t>03.06.03. Accidents de trànsit amb víctimes</t>
  </si>
  <si>
    <t>03.06.03.02. Nombre de ferits segons la gravetat</t>
  </si>
  <si>
    <t>03.06.03.03. Accidents de trànsit en zona interurbana</t>
  </si>
  <si>
    <t>03.06.03.01</t>
  </si>
  <si>
    <t>Nombre de ferits segons la gravetat</t>
  </si>
  <si>
    <t>03.06.03.02</t>
  </si>
  <si>
    <t>03.06.03.03</t>
  </si>
  <si>
    <t>Accidents de trànsit en zona interurbana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</si>
</sst>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sz val="11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color indexed="8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 val="single"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Helvetic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Helvetica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0"/>
      <color theme="6" tint="-0.4999699890613556"/>
      <name val="Arial"/>
      <family val="2"/>
    </font>
    <font>
      <u val="single"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Helvetic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Helvetica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9" tint="-0.24997000396251678"/>
      </top>
      <bottom style="medium">
        <color theme="9" tint="-0.24997000396251678"/>
      </bottom>
    </border>
    <border>
      <left/>
      <right/>
      <top style="medium">
        <color theme="9" tint="-0.24997000396251678"/>
      </top>
      <bottom style="thin">
        <color theme="9" tint="-0.24997000396251678"/>
      </bottom>
    </border>
    <border>
      <left/>
      <right/>
      <top style="thin">
        <color theme="9" tint="-0.24997000396251678"/>
      </top>
      <bottom style="thin">
        <color theme="9" tint="-0.24997000396251678"/>
      </bottom>
    </border>
    <border>
      <left/>
      <right/>
      <top/>
      <bottom style="medium">
        <color theme="9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7" fillId="0" borderId="0" xfId="45" applyFont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3" fillId="0" borderId="0" xfId="0" applyFont="1" applyAlignment="1">
      <alignment horizontal="left"/>
    </xf>
    <xf numFmtId="0" fontId="67" fillId="0" borderId="0" xfId="45" applyFont="1" applyAlignment="1" applyProtection="1">
      <alignment/>
      <protection/>
    </xf>
    <xf numFmtId="0" fontId="67" fillId="33" borderId="0" xfId="45" applyFont="1" applyFill="1" applyAlignment="1" applyProtection="1">
      <alignment/>
      <protection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52">
      <alignment/>
      <protection/>
    </xf>
    <xf numFmtId="0" fontId="68" fillId="0" borderId="0" xfId="45" applyFont="1" applyAlignment="1" applyProtection="1">
      <alignment horizontal="right"/>
      <protection/>
    </xf>
    <xf numFmtId="0" fontId="10" fillId="33" borderId="0" xfId="52" applyFont="1" applyFill="1" applyAlignment="1">
      <alignment horizontal="left"/>
      <protection/>
    </xf>
    <xf numFmtId="0" fontId="11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6" fillId="0" borderId="0" xfId="52" applyFill="1" applyBorder="1" applyAlignment="1">
      <alignment horizontal="center"/>
      <protection/>
    </xf>
    <xf numFmtId="3" fontId="6" fillId="0" borderId="0" xfId="52" applyNumberForma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/>
      <protection/>
    </xf>
    <xf numFmtId="0" fontId="6" fillId="0" borderId="0" xfId="52" applyFont="1" applyFill="1" applyBorder="1" applyAlignment="1">
      <alignment horizontal="center"/>
      <protection/>
    </xf>
    <xf numFmtId="3" fontId="6" fillId="0" borderId="0" xfId="52" applyNumberFormat="1" applyFont="1" applyFill="1" applyBorder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0" fontId="6" fillId="0" borderId="0" xfId="52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10" fillId="33" borderId="0" xfId="52" applyFont="1" applyFill="1">
      <alignment/>
      <protection/>
    </xf>
    <xf numFmtId="0" fontId="14" fillId="0" borderId="0" xfId="52" applyFont="1" applyFill="1" applyBorder="1" applyAlignment="1">
      <alignment horizontal="center"/>
      <protection/>
    </xf>
    <xf numFmtId="4" fontId="15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center"/>
      <protection/>
    </xf>
    <xf numFmtId="4" fontId="6" fillId="0" borderId="0" xfId="52" applyNumberFormat="1" applyFont="1" applyFill="1" applyBorder="1" applyAlignment="1">
      <alignment horizontal="center"/>
      <protection/>
    </xf>
    <xf numFmtId="0" fontId="13" fillId="0" borderId="0" xfId="52" applyFont="1">
      <alignment/>
      <protection/>
    </xf>
    <xf numFmtId="0" fontId="16" fillId="0" borderId="0" xfId="52" applyFont="1">
      <alignment/>
      <protection/>
    </xf>
    <xf numFmtId="0" fontId="6" fillId="0" borderId="0" xfId="52" applyBorder="1">
      <alignment/>
      <protection/>
    </xf>
    <xf numFmtId="0" fontId="10" fillId="0" borderId="0" xfId="52" applyFont="1" applyAlignment="1">
      <alignment horizontal="right"/>
      <protection/>
    </xf>
    <xf numFmtId="0" fontId="6" fillId="0" borderId="0" xfId="52" applyAlignment="1">
      <alignment horizontal="right"/>
      <protection/>
    </xf>
    <xf numFmtId="0" fontId="11" fillId="0" borderId="0" xfId="52" applyFont="1" applyAlignment="1">
      <alignment horizontal="righ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right"/>
      <protection/>
    </xf>
    <xf numFmtId="3" fontId="6" fillId="0" borderId="0" xfId="52" applyNumberFormat="1" applyAlignment="1">
      <alignment horizontal="right"/>
      <protection/>
    </xf>
    <xf numFmtId="0" fontId="6" fillId="0" borderId="0" xfId="52" applyBorder="1" applyAlignment="1">
      <alignment horizontal="center"/>
      <protection/>
    </xf>
    <xf numFmtId="3" fontId="6" fillId="0" borderId="0" xfId="52" applyNumberFormat="1" applyBorder="1" applyAlignment="1">
      <alignment horizontal="right"/>
      <protection/>
    </xf>
    <xf numFmtId="3" fontId="6" fillId="0" borderId="0" xfId="52" applyNumberFormat="1">
      <alignment/>
      <protection/>
    </xf>
    <xf numFmtId="0" fontId="13" fillId="0" borderId="0" xfId="52" applyFont="1" applyAlignment="1">
      <alignment horizontal="right"/>
      <protection/>
    </xf>
    <xf numFmtId="0" fontId="7" fillId="33" borderId="0" xfId="52" applyFont="1" applyFill="1">
      <alignment/>
      <protection/>
    </xf>
    <xf numFmtId="0" fontId="3" fillId="0" borderId="0" xfId="52" applyFont="1">
      <alignment/>
      <protection/>
    </xf>
    <xf numFmtId="0" fontId="17" fillId="0" borderId="0" xfId="52" applyFont="1" applyAlignment="1">
      <alignment horizontal="center"/>
      <protection/>
    </xf>
    <xf numFmtId="41" fontId="15" fillId="0" borderId="0" xfId="52" applyNumberFormat="1" applyFont="1" applyAlignment="1">
      <alignment horizontal="center"/>
      <protection/>
    </xf>
    <xf numFmtId="41" fontId="17" fillId="0" borderId="0" xfId="52" applyNumberFormat="1" applyFont="1" applyAlignment="1">
      <alignment horizontal="center"/>
      <protection/>
    </xf>
    <xf numFmtId="41" fontId="17" fillId="0" borderId="0" xfId="52" applyNumberFormat="1" applyFont="1" applyBorder="1" applyAlignment="1">
      <alignment horizontal="center"/>
      <protection/>
    </xf>
    <xf numFmtId="3" fontId="17" fillId="0" borderId="0" xfId="52" applyNumberFormat="1" applyFont="1" applyAlignment="1">
      <alignment horizontal="center"/>
      <protection/>
    </xf>
    <xf numFmtId="41" fontId="17" fillId="0" borderId="0" xfId="52" applyNumberFormat="1" applyFont="1" applyFill="1" applyBorder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69" fillId="0" borderId="0" xfId="45" applyFont="1" applyAlignment="1" applyProtection="1">
      <alignment/>
      <protection/>
    </xf>
    <xf numFmtId="0" fontId="20" fillId="0" borderId="0" xfId="52" applyFont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 applyFill="1" applyAlignment="1">
      <alignment horizontal="center"/>
      <protection/>
    </xf>
    <xf numFmtId="0" fontId="16" fillId="0" borderId="0" xfId="52" applyFont="1" applyBorder="1">
      <alignment/>
      <protection/>
    </xf>
    <xf numFmtId="0" fontId="70" fillId="33" borderId="0" xfId="45" applyFont="1" applyFill="1" applyAlignment="1" applyProtection="1">
      <alignment/>
      <protection/>
    </xf>
    <xf numFmtId="0" fontId="70" fillId="0" borderId="0" xfId="45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52" applyFont="1">
      <alignment/>
      <protection/>
    </xf>
    <xf numFmtId="0" fontId="71" fillId="33" borderId="0" xfId="45" applyFont="1" applyFill="1" applyAlignment="1" applyProtection="1">
      <alignment/>
      <protection/>
    </xf>
    <xf numFmtId="0" fontId="71" fillId="0" borderId="0" xfId="45" applyFont="1" applyAlignment="1" applyProtection="1">
      <alignment/>
      <protection/>
    </xf>
    <xf numFmtId="0" fontId="7" fillId="0" borderId="0" xfId="52" applyFont="1" applyAlignment="1">
      <alignment horizontal="center"/>
      <protection/>
    </xf>
    <xf numFmtId="0" fontId="3" fillId="33" borderId="0" xfId="52" applyFont="1" applyFill="1">
      <alignment/>
      <protection/>
    </xf>
    <xf numFmtId="0" fontId="7" fillId="33" borderId="0" xfId="0" applyFont="1" applyFill="1" applyAlignment="1">
      <alignment/>
    </xf>
    <xf numFmtId="0" fontId="16" fillId="34" borderId="0" xfId="53" applyFont="1" applyFill="1" applyBorder="1">
      <alignment/>
      <protection/>
    </xf>
    <xf numFmtId="0" fontId="6" fillId="0" borderId="0" xfId="52" applyFont="1" applyAlignment="1">
      <alignment horizontal="right"/>
      <protection/>
    </xf>
    <xf numFmtId="0" fontId="0" fillId="0" borderId="0" xfId="0" applyAlignment="1">
      <alignment horizontal="center"/>
    </xf>
    <xf numFmtId="0" fontId="12" fillId="0" borderId="0" xfId="52" applyFont="1" applyBorder="1" applyAlignment="1">
      <alignment horizontal="right"/>
      <protection/>
    </xf>
    <xf numFmtId="0" fontId="72" fillId="0" borderId="0" xfId="52" applyFont="1" applyBorder="1">
      <alignment/>
      <protection/>
    </xf>
    <xf numFmtId="0" fontId="73" fillId="0" borderId="0" xfId="52" applyFont="1" applyFill="1" applyBorder="1" applyAlignment="1">
      <alignment horizontal="right"/>
      <protection/>
    </xf>
    <xf numFmtId="0" fontId="72" fillId="0" borderId="0" xfId="52" applyFont="1" applyBorder="1" applyAlignment="1">
      <alignment horizontal="left"/>
      <protection/>
    </xf>
    <xf numFmtId="3" fontId="72" fillId="0" borderId="0" xfId="52" applyNumberFormat="1" applyFont="1" applyBorder="1" applyAlignment="1">
      <alignment horizontal="right"/>
      <protection/>
    </xf>
    <xf numFmtId="2" fontId="6" fillId="0" borderId="0" xfId="52" applyNumberFormat="1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4" fillId="0" borderId="0" xfId="45" applyFill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5" fillId="0" borderId="0" xfId="45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0" xfId="52" applyFont="1" applyFill="1" applyBorder="1" applyAlignment="1">
      <alignment horizontal="center"/>
      <protection/>
    </xf>
    <xf numFmtId="3" fontId="66" fillId="0" borderId="0" xfId="0" applyNumberFormat="1" applyFont="1" applyBorder="1" applyAlignment="1">
      <alignment/>
    </xf>
    <xf numFmtId="2" fontId="66" fillId="0" borderId="0" xfId="0" applyNumberFormat="1" applyFont="1" applyBorder="1" applyAlignment="1">
      <alignment horizontal="center"/>
    </xf>
    <xf numFmtId="2" fontId="3" fillId="0" borderId="0" xfId="52" applyNumberFormat="1" applyFont="1" applyFill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74" fillId="33" borderId="0" xfId="52" applyFont="1" applyFill="1" applyAlignment="1">
      <alignment horizontal="left"/>
      <protection/>
    </xf>
    <xf numFmtId="0" fontId="75" fillId="0" borderId="0" xfId="52" applyFont="1" applyAlignment="1">
      <alignment horizontal="right"/>
      <protection/>
    </xf>
    <xf numFmtId="0" fontId="74" fillId="0" borderId="0" xfId="52" applyFont="1" applyAlignment="1">
      <alignment horizontal="right"/>
      <protection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6" fillId="0" borderId="10" xfId="0" applyFont="1" applyBorder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>
      <alignment/>
      <protection/>
    </xf>
    <xf numFmtId="0" fontId="6" fillId="0" borderId="11" xfId="52" applyBorder="1" applyAlignment="1">
      <alignment horizontal="center"/>
      <protection/>
    </xf>
    <xf numFmtId="0" fontId="14" fillId="0" borderId="12" xfId="52" applyFont="1" applyBorder="1">
      <alignment/>
      <protection/>
    </xf>
    <xf numFmtId="0" fontId="3" fillId="0" borderId="13" xfId="52" applyFont="1" applyBorder="1">
      <alignment/>
      <protection/>
    </xf>
    <xf numFmtId="0" fontId="17" fillId="0" borderId="11" xfId="52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41" fontId="18" fillId="0" borderId="12" xfId="52" applyNumberFormat="1" applyFont="1" applyBorder="1" applyAlignment="1">
      <alignment horizontal="center"/>
      <protection/>
    </xf>
    <xf numFmtId="3" fontId="18" fillId="0" borderId="12" xfId="52" applyNumberFormat="1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41" fontId="17" fillId="0" borderId="13" xfId="52" applyNumberFormat="1" applyFont="1" applyBorder="1" applyAlignment="1">
      <alignment horizontal="center"/>
      <protection/>
    </xf>
    <xf numFmtId="3" fontId="17" fillId="0" borderId="13" xfId="52" applyNumberFormat="1" applyFont="1" applyBorder="1" applyAlignment="1">
      <alignment horizontal="center"/>
      <protection/>
    </xf>
    <xf numFmtId="0" fontId="7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68" fillId="0" borderId="0" xfId="45" applyFont="1" applyAlignment="1" applyProtection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9" fillId="0" borderId="0" xfId="45" applyFont="1" applyAlignment="1" applyProtection="1">
      <alignment horizontal="center"/>
      <protection/>
    </xf>
    <xf numFmtId="0" fontId="67" fillId="0" borderId="0" xfId="0" applyFont="1" applyAlignment="1">
      <alignment horizontal="center"/>
    </xf>
    <xf numFmtId="0" fontId="20" fillId="0" borderId="0" xfId="52" applyFont="1" applyBorder="1" applyAlignment="1">
      <alignment horizontal="center" wrapText="1"/>
      <protection/>
    </xf>
    <xf numFmtId="0" fontId="20" fillId="0" borderId="0" xfId="52" applyFont="1" applyBorder="1" applyAlignment="1">
      <alignment horizontal="left"/>
      <protection/>
    </xf>
    <xf numFmtId="0" fontId="20" fillId="0" borderId="12" xfId="52" applyFont="1" applyBorder="1" applyAlignment="1">
      <alignment horizontal="center" wrapText="1"/>
      <protection/>
    </xf>
    <xf numFmtId="0" fontId="20" fillId="0" borderId="12" xfId="52" applyFont="1" applyBorder="1" applyAlignment="1">
      <alignment horizontal="left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12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3" fontId="78" fillId="0" borderId="0" xfId="0" applyNumberFormat="1" applyFont="1" applyFill="1" applyAlignment="1">
      <alignment horizontal="center"/>
    </xf>
    <xf numFmtId="164" fontId="16" fillId="0" borderId="0" xfId="52" applyNumberFormat="1" applyFont="1" applyBorder="1" applyAlignment="1">
      <alignment horizontal="center" vertical="center"/>
      <protection/>
    </xf>
    <xf numFmtId="2" fontId="16" fillId="0" borderId="0" xfId="52" applyNumberFormat="1" applyFont="1" applyBorder="1" applyAlignment="1">
      <alignment horizontal="center" vertical="center"/>
      <protection/>
    </xf>
    <xf numFmtId="3" fontId="79" fillId="0" borderId="12" xfId="0" applyNumberFormat="1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 horizontal="center"/>
    </xf>
    <xf numFmtId="164" fontId="20" fillId="0" borderId="0" xfId="52" applyNumberFormat="1" applyFont="1" applyAlignment="1">
      <alignment horizontal="center"/>
      <protection/>
    </xf>
    <xf numFmtId="3" fontId="16" fillId="0" borderId="0" xfId="0" applyNumberFormat="1" applyFont="1" applyFill="1" applyAlignment="1">
      <alignment horizontal="center"/>
    </xf>
    <xf numFmtId="3" fontId="78" fillId="0" borderId="0" xfId="0" applyNumberFormat="1" applyFont="1" applyAlignment="1">
      <alignment horizontal="center"/>
    </xf>
    <xf numFmtId="164" fontId="20" fillId="0" borderId="12" xfId="52" applyNumberFormat="1" applyFont="1" applyBorder="1" applyAlignment="1">
      <alignment horizontal="center" vertical="center"/>
      <protection/>
    </xf>
    <xf numFmtId="164" fontId="20" fillId="0" borderId="0" xfId="52" applyNumberFormat="1" applyFont="1" applyBorder="1" applyAlignment="1">
      <alignment horizontal="center" vertical="center"/>
      <protection/>
    </xf>
    <xf numFmtId="164" fontId="20" fillId="0" borderId="0" xfId="52" applyNumberFormat="1" applyFont="1" applyBorder="1" applyAlignment="1">
      <alignment horizontal="center"/>
      <protection/>
    </xf>
    <xf numFmtId="164" fontId="20" fillId="0" borderId="10" xfId="52" applyNumberFormat="1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left"/>
      <protection/>
    </xf>
    <xf numFmtId="0" fontId="80" fillId="33" borderId="0" xfId="52" applyFont="1" applyFill="1" applyAlignment="1">
      <alignment horizontal="left"/>
      <protection/>
    </xf>
    <xf numFmtId="0" fontId="72" fillId="0" borderId="0" xfId="52" applyFont="1" applyBorder="1" applyAlignment="1">
      <alignment horizontal="right"/>
      <protection/>
    </xf>
    <xf numFmtId="0" fontId="80" fillId="0" borderId="0" xfId="52" applyFont="1" applyAlignment="1">
      <alignment horizontal="right"/>
      <protection/>
    </xf>
    <xf numFmtId="0" fontId="72" fillId="0" borderId="0" xfId="52" applyFont="1" applyAlignment="1">
      <alignment horizontal="right"/>
      <protection/>
    </xf>
    <xf numFmtId="3" fontId="78" fillId="0" borderId="0" xfId="0" applyNumberFormat="1" applyFont="1" applyFill="1" applyBorder="1" applyAlignment="1">
      <alignment horizontal="center" vertical="center"/>
    </xf>
    <xf numFmtId="0" fontId="16" fillId="0" borderId="0" xfId="52" applyNumberFormat="1" applyFont="1" applyBorder="1" applyAlignment="1">
      <alignment horizontal="center" vertical="center"/>
      <protection/>
    </xf>
    <xf numFmtId="0" fontId="70" fillId="0" borderId="0" xfId="45" applyFont="1" applyFill="1" applyBorder="1" applyAlignment="1" applyProtection="1">
      <alignment/>
      <protection/>
    </xf>
    <xf numFmtId="0" fontId="7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72" fillId="0" borderId="0" xfId="52" applyFont="1">
      <alignment/>
      <protection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75" fillId="0" borderId="0" xfId="52" applyFont="1" applyBorder="1" applyAlignment="1">
      <alignment horizontal="right"/>
      <protection/>
    </xf>
    <xf numFmtId="165" fontId="6" fillId="0" borderId="0" xfId="55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0" xfId="52" applyFont="1" applyBorder="1" applyAlignment="1">
      <alignment horizontal="center"/>
      <protection/>
    </xf>
    <xf numFmtId="0" fontId="12" fillId="0" borderId="0" xfId="52" applyFont="1" applyBorder="1">
      <alignment/>
      <protection/>
    </xf>
    <xf numFmtId="0" fontId="66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20" fillId="0" borderId="0" xfId="52" applyFont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 wrapText="1"/>
      <protection/>
    </xf>
    <xf numFmtId="0" fontId="20" fillId="0" borderId="0" xfId="52" applyFont="1" applyBorder="1" applyAlignment="1">
      <alignment horizontal="left" vertical="center" wrapText="1"/>
      <protection/>
    </xf>
    <xf numFmtId="0" fontId="20" fillId="0" borderId="10" xfId="52" applyFont="1" applyBorder="1" applyAlignment="1">
      <alignment horizontal="righ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81" fillId="33" borderId="0" xfId="52" applyFont="1" applyFill="1" applyBorder="1" applyAlignment="1">
      <alignment horizontal="left"/>
      <protection/>
    </xf>
    <xf numFmtId="0" fontId="72" fillId="0" borderId="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 wrapText="1"/>
      <protection/>
    </xf>
    <xf numFmtId="0" fontId="6" fillId="0" borderId="13" xfId="52" applyFont="1" applyFill="1" applyBorder="1" applyAlignment="1">
      <alignment horizontal="center" vertical="center"/>
      <protection/>
    </xf>
    <xf numFmtId="3" fontId="6" fillId="0" borderId="13" xfId="52" applyNumberFormat="1" applyFont="1" applyFill="1" applyBorder="1" applyAlignment="1">
      <alignment horizontal="center"/>
      <protection/>
    </xf>
    <xf numFmtId="3" fontId="66" fillId="0" borderId="13" xfId="0" applyNumberFormat="1" applyFont="1" applyBorder="1" applyAlignment="1">
      <alignment horizontal="right"/>
    </xf>
    <xf numFmtId="0" fontId="3" fillId="0" borderId="13" xfId="52" applyFont="1" applyBorder="1" applyAlignment="1">
      <alignment horizontal="center"/>
      <protection/>
    </xf>
    <xf numFmtId="4" fontId="6" fillId="0" borderId="13" xfId="52" applyNumberFormat="1" applyBorder="1" applyAlignment="1">
      <alignment horizontal="center"/>
      <protection/>
    </xf>
    <xf numFmtId="4" fontId="3" fillId="0" borderId="13" xfId="52" applyNumberFormat="1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right"/>
      <protection/>
    </xf>
    <xf numFmtId="0" fontId="3" fillId="0" borderId="10" xfId="52" applyFont="1" applyBorder="1" applyAlignment="1">
      <alignment horizontal="right"/>
      <protection/>
    </xf>
    <xf numFmtId="0" fontId="6" fillId="0" borderId="13" xfId="52" applyBorder="1" applyAlignment="1">
      <alignment horizontal="center"/>
      <protection/>
    </xf>
    <xf numFmtId="3" fontId="6" fillId="0" borderId="13" xfId="52" applyNumberFormat="1" applyBorder="1" applyAlignment="1">
      <alignment horizontal="right"/>
      <protection/>
    </xf>
    <xf numFmtId="3" fontId="6" fillId="0" borderId="13" xfId="52" applyNumberForma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1.7.Accidents de trànsi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5"/>
          <c:w val="0.9767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'03.06.01.01'!$B$24</c:f>
              <c:strCache>
                <c:ptCount val="1"/>
                <c:pt idx="0">
                  <c:v>Turismes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'03.06.01.01'!$A$25:$A$46</c:f>
              <c:numCache/>
            </c:numRef>
          </c:cat>
          <c:val>
            <c:numRef>
              <c:f>'03.06.01.01'!$B$25:$B$46</c:f>
              <c:numCache/>
            </c:numRef>
          </c:val>
          <c:smooth val="0"/>
        </c:ser>
        <c:ser>
          <c:idx val="2"/>
          <c:order val="1"/>
          <c:tx>
            <c:strRef>
              <c:f>'03.06.01.01'!$C$24</c:f>
              <c:strCache>
                <c:ptCount val="1"/>
                <c:pt idx="0">
                  <c:v>Camions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'03.06.01.01'!$A$25:$A$46</c:f>
              <c:numCache/>
            </c:numRef>
          </c:cat>
          <c:val>
            <c:numRef>
              <c:f>'03.06.01.01'!$C$25:$C$46</c:f>
              <c:numCache/>
            </c:numRef>
          </c:val>
          <c:smooth val="0"/>
        </c:ser>
        <c:ser>
          <c:idx val="3"/>
          <c:order val="2"/>
          <c:tx>
            <c:strRef>
              <c:f>'03.06.01.01'!$D$24</c:f>
              <c:strCache>
                <c:ptCount val="1"/>
                <c:pt idx="0">
                  <c:v>Ciclomotors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'03.06.01.01'!$A$25:$A$46</c:f>
              <c:numCache/>
            </c:numRef>
          </c:cat>
          <c:val>
            <c:numRef>
              <c:f>'03.06.01.01'!$D$25:$D$46</c:f>
              <c:numCache/>
            </c:numRef>
          </c:val>
          <c:smooth val="0"/>
        </c:ser>
        <c:ser>
          <c:idx val="4"/>
          <c:order val="3"/>
          <c:tx>
            <c:strRef>
              <c:f>'03.06.01.01'!$E$24</c:f>
              <c:strCache>
                <c:ptCount val="1"/>
                <c:pt idx="0">
                  <c:v>Motocicletes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'03.06.01.01'!$A$25:$A$46</c:f>
              <c:numCache/>
            </c:numRef>
          </c:cat>
          <c:val>
            <c:numRef>
              <c:f>'03.06.01.01'!$E$25:$E$46</c:f>
              <c:numCache/>
            </c:numRef>
          </c:val>
          <c:smooth val="0"/>
        </c:ser>
        <c:marker val="1"/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5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"/>
          <c:y val="0.90975"/>
          <c:w val="0.733"/>
          <c:h val="0.0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Gràfica Evolució Índex de Motorització. 1998-2019</a:t>
            </a:r>
          </a:p>
        </c:rich>
      </c:tx>
      <c:layout>
        <c:manualLayout>
          <c:xMode val="factor"/>
          <c:yMode val="factor"/>
          <c:x val="-0.0017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52"/>
          <c:w val="0.946"/>
          <c:h val="0.78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'03.06.01.02'!$A$22:$A$43</c:f>
              <c:numCache/>
            </c:numRef>
          </c:cat>
          <c:val>
            <c:numRef>
              <c:f>'03.06.01.02'!$I$22:$I$43</c:f>
              <c:numCache/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Comparativa vehicles segons anys d'antiguitat. 2009-2019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325"/>
          <c:w val="0.895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'03.06.01.03'!$B$28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'03.06.01.03'!$B$7:$B$10</c:f>
              <c:strCache/>
            </c:strRef>
          </c:cat>
          <c:val>
            <c:numRef>
              <c:f>'03.06.01.03'!$C$7:$C$10</c:f>
              <c:numCache/>
            </c:numRef>
          </c:val>
        </c:ser>
        <c:ser>
          <c:idx val="1"/>
          <c:order val="1"/>
          <c:tx>
            <c:strRef>
              <c:f>'03.06.01.03'!$D$6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'03.06.01.03'!$B$7:$B$10</c:f>
              <c:strCache/>
            </c:strRef>
          </c:cat>
          <c:val>
            <c:numRef>
              <c:f>'03.06.01.03'!$D$7:$D$10</c:f>
              <c:numCache/>
            </c:numRef>
          </c:val>
        </c:ser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486"/>
          <c:w val="0.0712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38100</xdr:rowOff>
    </xdr:from>
    <xdr:to>
      <xdr:col>8</xdr:col>
      <xdr:colOff>180975</xdr:colOff>
      <xdr:row>21</xdr:row>
      <xdr:rowOff>133350</xdr:rowOff>
    </xdr:to>
    <xdr:graphicFrame>
      <xdr:nvGraphicFramePr>
        <xdr:cNvPr id="1" name="3 Gráfico"/>
        <xdr:cNvGraphicFramePr/>
      </xdr:nvGraphicFramePr>
      <xdr:xfrm>
        <a:off x="38100" y="990600"/>
        <a:ext cx="53149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8</xdr:col>
      <xdr:colOff>285750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7150" y="438150"/>
        <a:ext cx="54864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114300</xdr:rowOff>
    </xdr:from>
    <xdr:to>
      <xdr:col>11</xdr:col>
      <xdr:colOff>257175</xdr:colOff>
      <xdr:row>25</xdr:row>
      <xdr:rowOff>85725</xdr:rowOff>
    </xdr:to>
    <xdr:graphicFrame>
      <xdr:nvGraphicFramePr>
        <xdr:cNvPr id="1" name="3 Gráfico"/>
        <xdr:cNvGraphicFramePr/>
      </xdr:nvGraphicFramePr>
      <xdr:xfrm>
        <a:off x="57150" y="685800"/>
        <a:ext cx="62579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3</xdr:col>
      <xdr:colOff>0</xdr:colOff>
      <xdr:row>23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"/>
          <a:ext cx="18002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66675</xdr:rowOff>
    </xdr:from>
    <xdr:to>
      <xdr:col>2</xdr:col>
      <xdr:colOff>314325</xdr:colOff>
      <xdr:row>14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18192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</xdr:col>
      <xdr:colOff>314325</xdr:colOff>
      <xdr:row>15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18097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38100</xdr:rowOff>
    </xdr:from>
    <xdr:to>
      <xdr:col>1</xdr:col>
      <xdr:colOff>485775</xdr:colOff>
      <xdr:row>14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18288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showGridLines="0" view="pageLayout" workbookViewId="0" topLeftCell="A1">
      <selection activeCell="A7" sqref="A7"/>
    </sheetView>
  </sheetViews>
  <sheetFormatPr defaultColWidth="11.421875" defaultRowHeight="15"/>
  <cols>
    <col min="2" max="2" width="21.8515625" style="0" bestFit="1" customWidth="1"/>
  </cols>
  <sheetData>
    <row r="1" s="111" customFormat="1" ht="15"/>
    <row r="2" spans="1:3" ht="15">
      <c r="A2" s="80" t="s">
        <v>0</v>
      </c>
      <c r="B2" s="81"/>
      <c r="C2" s="82"/>
    </row>
    <row r="3" spans="1:3" ht="15">
      <c r="A3" s="80"/>
      <c r="B3" s="81"/>
      <c r="C3" s="82"/>
    </row>
    <row r="4" spans="1:3" s="6" customFormat="1" ht="15">
      <c r="A4" s="3" t="s">
        <v>4</v>
      </c>
      <c r="B4" s="4" t="s">
        <v>3</v>
      </c>
      <c r="C4" s="5"/>
    </row>
    <row r="5" spans="1:3" s="6" customFormat="1" ht="15">
      <c r="A5" s="1" t="s">
        <v>5</v>
      </c>
      <c r="B5" s="7" t="s">
        <v>1</v>
      </c>
      <c r="C5" s="1"/>
    </row>
    <row r="6" spans="1:7" ht="15">
      <c r="A6" s="9" t="s">
        <v>13</v>
      </c>
      <c r="B6" s="8" t="s">
        <v>10</v>
      </c>
      <c r="C6" s="8"/>
      <c r="D6" s="8"/>
      <c r="E6" s="10"/>
      <c r="F6" s="10"/>
      <c r="G6" s="11"/>
    </row>
    <row r="7" spans="1:7" ht="15">
      <c r="A7" s="9" t="s">
        <v>14</v>
      </c>
      <c r="B7" s="8" t="s">
        <v>11</v>
      </c>
      <c r="C7" s="8"/>
      <c r="D7" s="8"/>
      <c r="E7" s="10"/>
      <c r="F7" s="10"/>
      <c r="G7" s="11"/>
    </row>
    <row r="8" spans="1:7" ht="15">
      <c r="A8" s="9" t="s">
        <v>15</v>
      </c>
      <c r="B8" s="8" t="s">
        <v>12</v>
      </c>
      <c r="C8" s="8"/>
      <c r="D8" s="8"/>
      <c r="E8" s="10"/>
      <c r="F8" s="10"/>
      <c r="G8" s="11"/>
    </row>
    <row r="9" spans="1:3" s="6" customFormat="1" ht="15">
      <c r="A9" s="77" t="s">
        <v>6</v>
      </c>
      <c r="B9" s="78" t="s">
        <v>2</v>
      </c>
      <c r="C9" s="77"/>
    </row>
    <row r="10" spans="1:5" ht="15">
      <c r="A10" s="9" t="s">
        <v>16</v>
      </c>
      <c r="B10" s="8" t="s">
        <v>8</v>
      </c>
      <c r="C10" s="8"/>
      <c r="D10" s="8"/>
      <c r="E10" s="8"/>
    </row>
    <row r="11" spans="1:5" ht="15">
      <c r="A11" s="9" t="s">
        <v>17</v>
      </c>
      <c r="B11" s="8" t="s">
        <v>9</v>
      </c>
      <c r="C11" s="8"/>
      <c r="D11" s="8"/>
      <c r="E11" s="8"/>
    </row>
    <row r="12" spans="1:5" ht="15">
      <c r="A12" s="9" t="s">
        <v>118</v>
      </c>
      <c r="B12" s="8" t="s">
        <v>119</v>
      </c>
      <c r="C12" s="8"/>
      <c r="D12" s="8"/>
      <c r="E12" s="8"/>
    </row>
    <row r="13" spans="1:3" s="150" customFormat="1" ht="15">
      <c r="A13" s="9" t="s">
        <v>7</v>
      </c>
      <c r="B13" s="148" t="s">
        <v>78</v>
      </c>
      <c r="C13" s="149"/>
    </row>
    <row r="14" spans="1:3" ht="15">
      <c r="A14" s="9" t="s">
        <v>123</v>
      </c>
      <c r="B14" s="8" t="s">
        <v>124</v>
      </c>
      <c r="C14" s="2"/>
    </row>
    <row r="15" spans="1:2" ht="15">
      <c r="A15" s="9" t="s">
        <v>125</v>
      </c>
      <c r="B15" s="8" t="s">
        <v>124</v>
      </c>
    </row>
    <row r="16" spans="1:2" ht="15">
      <c r="A16" s="9" t="s">
        <v>126</v>
      </c>
      <c r="B16" s="8" t="s">
        <v>127</v>
      </c>
    </row>
  </sheetData>
  <sheetProtection/>
  <hyperlinks>
    <hyperlink ref="A11:E11" location="'1.01.03.01.02'!A1" display="1.01.03.01.02"/>
    <hyperlink ref="A7:D7" location="'1.01.03.02.03'!A1" display="1.01.03.02.03"/>
    <hyperlink ref="A8:D8" location="'1.01.03.02.04'!A1" display="1.01.03.02.04"/>
    <hyperlink ref="A6:B6" location="'03.06.01.01'!A1" display="03.06.01.01"/>
    <hyperlink ref="A7:B7" location="'03.06.01.02'!A1" display="03.06.01.02"/>
    <hyperlink ref="A8:C8" location="'03.06.01.03'!A1" display="03.06.01.03"/>
    <hyperlink ref="A10:C10" location="'03.06.02.01'!A1" display="03.06.02.01"/>
    <hyperlink ref="A11:D11" location="'03.06.02.02'!A1" display="03.06.02.02"/>
    <hyperlink ref="A13:B13" location="'03.06.03'!A1" display="03.06.03"/>
    <hyperlink ref="A13" location="'03.06.03.01'!A1" display="03.06.03"/>
    <hyperlink ref="A14" location="'03.06.03.01'!A1" display="03.06.03.01"/>
    <hyperlink ref="A15" location="'03.06.03.02'!A1" display="03.06.03.02"/>
    <hyperlink ref="A16" location="'03.06.03.03'!A1" display="03.06.03.03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showGridLines="0" view="pageLayout" workbookViewId="0" topLeftCell="A1">
      <selection activeCell="B11" sqref="B11"/>
    </sheetView>
  </sheetViews>
  <sheetFormatPr defaultColWidth="11.421875" defaultRowHeight="15"/>
  <cols>
    <col min="1" max="1" width="20.140625" style="0" customWidth="1"/>
    <col min="2" max="2" width="9.421875" style="70" bestFit="1" customWidth="1"/>
    <col min="3" max="3" width="7.8515625" style="70" bestFit="1" customWidth="1"/>
    <col min="4" max="4" width="9.57421875" style="70" bestFit="1" customWidth="1"/>
    <col min="5" max="5" width="6.140625" style="70" bestFit="1" customWidth="1"/>
    <col min="6" max="6" width="5.57421875" style="70" bestFit="1" customWidth="1"/>
    <col min="7" max="7" width="5.00390625" style="0" bestFit="1" customWidth="1"/>
    <col min="8" max="10" width="5.00390625" style="0" customWidth="1"/>
    <col min="11" max="11" width="5.00390625" style="0" bestFit="1" customWidth="1"/>
  </cols>
  <sheetData>
    <row r="1" ht="15">
      <c r="A1" s="67" t="s">
        <v>122</v>
      </c>
    </row>
    <row r="2" spans="1:7" ht="15">
      <c r="A2" s="160">
        <v>2019</v>
      </c>
      <c r="G2" s="70"/>
    </row>
    <row r="3" ht="15">
      <c r="G3" s="70"/>
    </row>
    <row r="4" spans="1:7" ht="15.75" thickBot="1">
      <c r="A4" s="94" t="s">
        <v>97</v>
      </c>
      <c r="B4" s="92" t="s">
        <v>98</v>
      </c>
      <c r="C4" s="92" t="s">
        <v>99</v>
      </c>
      <c r="D4" s="92" t="s">
        <v>100</v>
      </c>
      <c r="E4" s="92" t="s">
        <v>101</v>
      </c>
      <c r="F4" s="93" t="s">
        <v>26</v>
      </c>
      <c r="G4" s="70"/>
    </row>
    <row r="5" spans="1:7" ht="15">
      <c r="A5" s="2" t="s">
        <v>102</v>
      </c>
      <c r="B5" s="96">
        <v>24</v>
      </c>
      <c r="C5" s="96">
        <v>5</v>
      </c>
      <c r="D5" s="96">
        <v>4</v>
      </c>
      <c r="E5" s="96">
        <v>1</v>
      </c>
      <c r="F5" s="96">
        <v>34</v>
      </c>
      <c r="G5" s="70"/>
    </row>
    <row r="6" spans="1:7" ht="15">
      <c r="A6" s="2" t="s">
        <v>103</v>
      </c>
      <c r="B6" s="96">
        <v>1</v>
      </c>
      <c r="C6" s="96">
        <v>1</v>
      </c>
      <c r="D6" s="96">
        <v>0</v>
      </c>
      <c r="E6" s="96">
        <v>0</v>
      </c>
      <c r="F6" s="96">
        <v>2</v>
      </c>
      <c r="G6" s="70"/>
    </row>
    <row r="7" spans="1:7" ht="15">
      <c r="A7" s="2" t="s">
        <v>104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70"/>
    </row>
    <row r="8" spans="1:7" ht="15.75" thickBot="1">
      <c r="A8" s="91" t="s">
        <v>26</v>
      </c>
      <c r="B8" s="97">
        <v>25</v>
      </c>
      <c r="C8" s="97">
        <v>6</v>
      </c>
      <c r="D8" s="97">
        <v>4</v>
      </c>
      <c r="E8" s="97">
        <v>1</v>
      </c>
      <c r="F8" s="97">
        <v>36</v>
      </c>
      <c r="G8" s="70"/>
    </row>
    <row r="9" spans="1:7" ht="15">
      <c r="A9" s="68" t="s">
        <v>111</v>
      </c>
      <c r="B9" s="95"/>
      <c r="C9" s="95"/>
      <c r="D9" s="95"/>
      <c r="E9" s="95"/>
      <c r="F9" s="95"/>
      <c r="G9" s="70"/>
    </row>
    <row r="10" spans="1:7" ht="15">
      <c r="A10" s="79" t="s">
        <v>74</v>
      </c>
      <c r="G10" s="70"/>
    </row>
    <row r="11" ht="15">
      <c r="G11" s="70"/>
    </row>
    <row r="12" ht="15"/>
    <row r="13" ht="15"/>
    <row r="14" ht="15"/>
    <row r="15" ht="15"/>
    <row r="19" ht="15">
      <c r="B19" s="159"/>
    </row>
  </sheetData>
  <sheetProtection/>
  <hyperlinks>
    <hyperlink ref="A10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I74"/>
  <sheetViews>
    <sheetView showGridLines="0" view="pageLayout" workbookViewId="0" topLeftCell="A1">
      <selection activeCell="E39" sqref="E39"/>
    </sheetView>
  </sheetViews>
  <sheetFormatPr defaultColWidth="11.421875" defaultRowHeight="15"/>
  <cols>
    <col min="1" max="1" width="8.57421875" style="0" customWidth="1"/>
    <col min="2" max="2" width="9.140625" style="0" bestFit="1" customWidth="1"/>
    <col min="3" max="3" width="8.421875" style="0" customWidth="1"/>
    <col min="4" max="4" width="11.140625" style="0" customWidth="1"/>
    <col min="5" max="5" width="12.00390625" style="0" customWidth="1"/>
    <col min="6" max="6" width="12.28125" style="0" customWidth="1"/>
    <col min="7" max="7" width="8.28125" style="0" customWidth="1"/>
    <col min="8" max="8" width="7.7109375" style="0" customWidth="1"/>
    <col min="9" max="9" width="6.7109375" style="0" customWidth="1"/>
  </cols>
  <sheetData>
    <row r="2" spans="1:9" ht="15">
      <c r="A2" s="3" t="s">
        <v>64</v>
      </c>
      <c r="B2" s="4"/>
      <c r="C2" s="12"/>
      <c r="D2" s="12"/>
      <c r="E2" s="12"/>
      <c r="F2" s="12"/>
      <c r="G2" s="12"/>
      <c r="H2" s="12"/>
      <c r="I2" s="13"/>
    </row>
    <row r="3" spans="1:9" ht="15">
      <c r="A3" s="1" t="s">
        <v>65</v>
      </c>
      <c r="B3" s="7"/>
      <c r="C3" s="12"/>
      <c r="D3" s="12"/>
      <c r="E3" s="12"/>
      <c r="F3" s="12"/>
      <c r="G3" s="12"/>
      <c r="H3" s="12"/>
      <c r="I3" s="12"/>
    </row>
    <row r="4" spans="1:9" s="6" customFormat="1" ht="15">
      <c r="A4" s="58" t="s">
        <v>66</v>
      </c>
      <c r="B4" s="59"/>
      <c r="C4" s="45"/>
      <c r="D4" s="45"/>
      <c r="E4" s="45"/>
      <c r="F4" s="45"/>
      <c r="G4" s="45"/>
      <c r="H4" s="45"/>
      <c r="I4" s="45"/>
    </row>
    <row r="5" spans="1:9" ht="15">
      <c r="A5" s="14"/>
      <c r="B5" s="12"/>
      <c r="C5" s="12"/>
      <c r="D5" s="12"/>
      <c r="E5" s="12"/>
      <c r="F5" s="12"/>
      <c r="G5" s="12"/>
      <c r="H5" s="12"/>
      <c r="I5" s="12"/>
    </row>
    <row r="6" spans="1:9" ht="15">
      <c r="A6" s="14"/>
      <c r="B6" s="12"/>
      <c r="C6" s="12"/>
      <c r="D6" s="12"/>
      <c r="E6" s="12"/>
      <c r="F6" s="12"/>
      <c r="G6" s="12"/>
      <c r="H6" s="12"/>
      <c r="I6" s="12"/>
    </row>
    <row r="7" spans="1:9" ht="15">
      <c r="A7" s="14"/>
      <c r="B7" s="12"/>
      <c r="C7" s="12"/>
      <c r="D7" s="12"/>
      <c r="E7" s="12"/>
      <c r="F7" s="12"/>
      <c r="G7" s="12"/>
      <c r="H7" s="12"/>
      <c r="I7" s="12"/>
    </row>
    <row r="8" spans="1:9" ht="15">
      <c r="A8" s="14"/>
      <c r="B8" s="12"/>
      <c r="C8" s="12"/>
      <c r="D8" s="12"/>
      <c r="E8" s="12"/>
      <c r="F8" s="12"/>
      <c r="G8" s="12"/>
      <c r="H8" s="12"/>
      <c r="I8" s="12"/>
    </row>
    <row r="9" spans="1:9" ht="15">
      <c r="A9" s="14"/>
      <c r="B9" s="12"/>
      <c r="C9" s="12"/>
      <c r="D9" s="12"/>
      <c r="E9" s="12"/>
      <c r="F9" s="12"/>
      <c r="G9" s="12"/>
      <c r="H9" s="12"/>
      <c r="I9" s="12"/>
    </row>
    <row r="10" spans="1:9" ht="15">
      <c r="A10" s="14"/>
      <c r="B10" s="12"/>
      <c r="C10" s="12"/>
      <c r="D10" s="12"/>
      <c r="E10" s="12"/>
      <c r="F10" s="12"/>
      <c r="G10" s="12"/>
      <c r="H10" s="12"/>
      <c r="I10" s="12"/>
    </row>
    <row r="11" spans="1:9" ht="15">
      <c r="A11" s="14"/>
      <c r="B11" s="12"/>
      <c r="C11" s="12"/>
      <c r="D11" s="12"/>
      <c r="E11" s="12"/>
      <c r="F11" s="12"/>
      <c r="G11" s="12"/>
      <c r="H11" s="12"/>
      <c r="I11" s="12"/>
    </row>
    <row r="12" spans="1:9" ht="15">
      <c r="A12" s="14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4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14"/>
      <c r="B14" s="12"/>
      <c r="C14" s="12"/>
      <c r="D14" s="12"/>
      <c r="E14" s="12"/>
      <c r="F14" s="12"/>
      <c r="G14" s="12"/>
      <c r="H14" s="12"/>
      <c r="I14" s="12"/>
    </row>
    <row r="15" spans="1:9" ht="15">
      <c r="A15" s="14"/>
      <c r="B15" s="12"/>
      <c r="C15" s="12"/>
      <c r="D15" s="12"/>
      <c r="E15" s="12"/>
      <c r="F15" s="12"/>
      <c r="G15" s="12"/>
      <c r="H15" s="12"/>
      <c r="I15" s="12"/>
    </row>
    <row r="16" spans="1:9" ht="15">
      <c r="A16" s="14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14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14"/>
      <c r="B18" s="12"/>
      <c r="C18" s="12"/>
      <c r="D18" s="12"/>
      <c r="E18" s="12"/>
      <c r="F18" s="12"/>
      <c r="G18" s="12"/>
      <c r="H18" s="12"/>
      <c r="I18" s="12"/>
    </row>
    <row r="19" spans="1:9" ht="15">
      <c r="A19" s="14"/>
      <c r="B19" s="12"/>
      <c r="C19" s="12"/>
      <c r="D19" s="12"/>
      <c r="E19" s="12"/>
      <c r="F19" s="12"/>
      <c r="G19" s="12"/>
      <c r="H19" s="12"/>
      <c r="I19" s="12"/>
    </row>
    <row r="20" spans="1:9" ht="15">
      <c r="A20" s="14"/>
      <c r="B20" s="12"/>
      <c r="C20" s="12"/>
      <c r="D20" s="12"/>
      <c r="E20" s="12"/>
      <c r="F20" s="12"/>
      <c r="G20" s="12"/>
      <c r="H20" s="12"/>
      <c r="I20" s="12"/>
    </row>
    <row r="21" spans="1:9" ht="15">
      <c r="A21" s="14"/>
      <c r="B21" s="12"/>
      <c r="C21" s="12"/>
      <c r="D21" s="12"/>
      <c r="E21" s="12"/>
      <c r="F21" s="12"/>
      <c r="G21" s="12"/>
      <c r="H21" s="12"/>
      <c r="I21" s="12"/>
    </row>
    <row r="22" spans="1:9" ht="15">
      <c r="A22" s="14"/>
      <c r="B22" s="12"/>
      <c r="C22" s="12"/>
      <c r="D22" s="12"/>
      <c r="E22" s="12"/>
      <c r="F22" s="12"/>
      <c r="G22" s="12"/>
      <c r="H22" s="12"/>
      <c r="I22" s="12"/>
    </row>
    <row r="23" spans="1:9" ht="15">
      <c r="A23" s="157"/>
      <c r="B23" s="158"/>
      <c r="C23" s="158"/>
      <c r="D23" s="158"/>
      <c r="E23" s="158"/>
      <c r="F23" s="158"/>
      <c r="G23" s="158"/>
      <c r="H23" s="158"/>
      <c r="I23" s="158"/>
    </row>
    <row r="24" spans="1:9" ht="27" thickBot="1">
      <c r="A24" s="83" t="s">
        <v>18</v>
      </c>
      <c r="B24" s="83" t="s">
        <v>19</v>
      </c>
      <c r="C24" s="83" t="s">
        <v>20</v>
      </c>
      <c r="D24" s="83" t="s">
        <v>21</v>
      </c>
      <c r="E24" s="83" t="s">
        <v>22</v>
      </c>
      <c r="F24" s="169" t="s">
        <v>23</v>
      </c>
      <c r="G24" s="83" t="s">
        <v>24</v>
      </c>
      <c r="H24" s="83" t="s">
        <v>25</v>
      </c>
      <c r="I24" s="83" t="s">
        <v>26</v>
      </c>
    </row>
    <row r="25" spans="1:9" ht="15">
      <c r="A25" s="17">
        <v>1998</v>
      </c>
      <c r="B25" s="18">
        <v>20758</v>
      </c>
      <c r="C25" s="18">
        <v>3011</v>
      </c>
      <c r="D25" s="18">
        <v>1926</v>
      </c>
      <c r="E25" s="18">
        <v>1527</v>
      </c>
      <c r="F25" s="17">
        <v>87</v>
      </c>
      <c r="G25" s="17">
        <v>368</v>
      </c>
      <c r="H25" s="17">
        <v>341</v>
      </c>
      <c r="I25" s="19">
        <v>28222</v>
      </c>
    </row>
    <row r="26" spans="1:9" ht="15">
      <c r="A26" s="17">
        <v>1999</v>
      </c>
      <c r="B26" s="18">
        <v>22343</v>
      </c>
      <c r="C26" s="18">
        <v>3174</v>
      </c>
      <c r="D26" s="18">
        <v>2192</v>
      </c>
      <c r="E26" s="18">
        <v>1591</v>
      </c>
      <c r="F26" s="17">
        <v>87</v>
      </c>
      <c r="G26" s="17">
        <v>413</v>
      </c>
      <c r="H26" s="17">
        <v>394</v>
      </c>
      <c r="I26" s="19">
        <v>30194</v>
      </c>
    </row>
    <row r="27" spans="1:9" ht="15">
      <c r="A27" s="17">
        <v>2000</v>
      </c>
      <c r="B27" s="18">
        <v>22402</v>
      </c>
      <c r="C27" s="18">
        <v>3236</v>
      </c>
      <c r="D27" s="18">
        <v>2496</v>
      </c>
      <c r="E27" s="18">
        <v>1614</v>
      </c>
      <c r="F27" s="17">
        <v>86</v>
      </c>
      <c r="G27" s="17">
        <v>416</v>
      </c>
      <c r="H27" s="17">
        <v>414</v>
      </c>
      <c r="I27" s="19">
        <v>31011</v>
      </c>
    </row>
    <row r="28" spans="1:9" ht="15">
      <c r="A28" s="17">
        <v>2001</v>
      </c>
      <c r="B28" s="18">
        <v>23428</v>
      </c>
      <c r="C28" s="18">
        <v>3329</v>
      </c>
      <c r="D28" s="18">
        <v>2737</v>
      </c>
      <c r="E28" s="18">
        <v>1683</v>
      </c>
      <c r="F28" s="17">
        <v>82</v>
      </c>
      <c r="G28" s="17">
        <v>410</v>
      </c>
      <c r="H28" s="17">
        <v>436</v>
      </c>
      <c r="I28" s="19">
        <v>32102</v>
      </c>
    </row>
    <row r="29" spans="1:9" ht="15">
      <c r="A29" s="17">
        <v>2002</v>
      </c>
      <c r="B29" s="18">
        <v>24121</v>
      </c>
      <c r="C29" s="18">
        <v>3386</v>
      </c>
      <c r="D29" s="18">
        <v>1873</v>
      </c>
      <c r="E29" s="18">
        <v>1741</v>
      </c>
      <c r="F29" s="17">
        <v>82</v>
      </c>
      <c r="G29" s="17">
        <v>442</v>
      </c>
      <c r="H29" s="17">
        <v>465</v>
      </c>
      <c r="I29" s="19">
        <v>32110</v>
      </c>
    </row>
    <row r="30" spans="1:9" ht="15">
      <c r="A30" s="17">
        <v>2003</v>
      </c>
      <c r="B30" s="18">
        <v>24623</v>
      </c>
      <c r="C30" s="18">
        <v>3475</v>
      </c>
      <c r="D30" s="18">
        <v>2032</v>
      </c>
      <c r="E30" s="18">
        <v>1715</v>
      </c>
      <c r="F30" s="17">
        <v>85</v>
      </c>
      <c r="G30" s="17">
        <v>325</v>
      </c>
      <c r="H30" s="17">
        <v>523</v>
      </c>
      <c r="I30" s="19">
        <v>33332</v>
      </c>
    </row>
    <row r="31" spans="1:9" ht="15">
      <c r="A31" s="17">
        <v>2004</v>
      </c>
      <c r="B31" s="18">
        <v>24867</v>
      </c>
      <c r="C31" s="18">
        <v>3563</v>
      </c>
      <c r="D31" s="18">
        <v>2054</v>
      </c>
      <c r="E31" s="18">
        <v>1801</v>
      </c>
      <c r="F31" s="17">
        <v>85</v>
      </c>
      <c r="G31" s="17">
        <v>292</v>
      </c>
      <c r="H31" s="17">
        <v>554</v>
      </c>
      <c r="I31" s="19">
        <v>34045</v>
      </c>
    </row>
    <row r="32" spans="1:9" ht="15">
      <c r="A32" s="17">
        <v>2005</v>
      </c>
      <c r="B32" s="18">
        <v>25331</v>
      </c>
      <c r="C32" s="18">
        <v>3694</v>
      </c>
      <c r="D32" s="18">
        <v>2084</v>
      </c>
      <c r="E32" s="18">
        <v>1998</v>
      </c>
      <c r="F32" s="17">
        <v>91</v>
      </c>
      <c r="G32" s="17">
        <v>308</v>
      </c>
      <c r="H32" s="17">
        <v>610</v>
      </c>
      <c r="I32" s="19">
        <v>35172</v>
      </c>
    </row>
    <row r="33" spans="1:9" ht="15">
      <c r="A33" s="17">
        <v>2006</v>
      </c>
      <c r="B33" s="18">
        <v>27274</v>
      </c>
      <c r="C33" s="18">
        <v>3889</v>
      </c>
      <c r="D33" s="18">
        <v>2176</v>
      </c>
      <c r="E33" s="18">
        <v>2475</v>
      </c>
      <c r="F33" s="17">
        <v>104</v>
      </c>
      <c r="G33" s="17">
        <v>499</v>
      </c>
      <c r="H33" s="17">
        <v>329</v>
      </c>
      <c r="I33" s="19">
        <v>37155</v>
      </c>
    </row>
    <row r="34" spans="1:9" ht="15">
      <c r="A34" s="17">
        <v>2007</v>
      </c>
      <c r="B34" s="18">
        <v>27672</v>
      </c>
      <c r="C34" s="18">
        <v>4034</v>
      </c>
      <c r="D34" s="18">
        <v>2142</v>
      </c>
      <c r="E34" s="18">
        <v>2913</v>
      </c>
      <c r="F34" s="17">
        <v>125</v>
      </c>
      <c r="G34" s="17">
        <v>487</v>
      </c>
      <c r="H34" s="17">
        <v>594</v>
      </c>
      <c r="I34" s="19">
        <v>37993</v>
      </c>
    </row>
    <row r="35" spans="1:9" ht="15">
      <c r="A35" s="17">
        <v>2008</v>
      </c>
      <c r="B35" s="18">
        <v>26729</v>
      </c>
      <c r="C35" s="18">
        <v>4278</v>
      </c>
      <c r="D35" s="18">
        <v>2082</v>
      </c>
      <c r="E35" s="18">
        <v>3190</v>
      </c>
      <c r="F35" s="18">
        <v>159</v>
      </c>
      <c r="G35" s="18">
        <v>401</v>
      </c>
      <c r="H35" s="18">
        <v>686</v>
      </c>
      <c r="I35" s="19">
        <f>SUM(B35:H35)</f>
        <v>37525</v>
      </c>
    </row>
    <row r="36" spans="1:9" ht="15">
      <c r="A36" s="17">
        <v>2009</v>
      </c>
      <c r="B36" s="18">
        <v>27032</v>
      </c>
      <c r="C36" s="18">
        <v>4230</v>
      </c>
      <c r="D36" s="18">
        <v>2101</v>
      </c>
      <c r="E36" s="18">
        <v>3509</v>
      </c>
      <c r="F36" s="18">
        <v>190</v>
      </c>
      <c r="G36" s="18">
        <v>403</v>
      </c>
      <c r="H36" s="18">
        <v>674</v>
      </c>
      <c r="I36" s="19">
        <f>SUM(B36:H36)</f>
        <v>38139</v>
      </c>
    </row>
    <row r="37" spans="1:9" ht="15">
      <c r="A37" s="20">
        <v>2010</v>
      </c>
      <c r="B37" s="21">
        <v>27252</v>
      </c>
      <c r="C37" s="21">
        <v>4135</v>
      </c>
      <c r="D37" s="21">
        <v>2063</v>
      </c>
      <c r="E37" s="21">
        <v>3751</v>
      </c>
      <c r="F37" s="21">
        <v>177</v>
      </c>
      <c r="G37" s="21">
        <v>451</v>
      </c>
      <c r="H37" s="21">
        <v>678</v>
      </c>
      <c r="I37" s="19">
        <v>38507</v>
      </c>
    </row>
    <row r="38" spans="1:9" ht="15">
      <c r="A38" s="20">
        <v>2011</v>
      </c>
      <c r="B38" s="21">
        <v>27247</v>
      </c>
      <c r="C38" s="21">
        <v>3955</v>
      </c>
      <c r="D38" s="21">
        <v>2019</v>
      </c>
      <c r="E38" s="21">
        <v>3994</v>
      </c>
      <c r="F38" s="21">
        <v>175</v>
      </c>
      <c r="G38" s="21">
        <v>455</v>
      </c>
      <c r="H38" s="21">
        <v>650</v>
      </c>
      <c r="I38" s="19">
        <v>38497</v>
      </c>
    </row>
    <row r="39" spans="1:9" ht="15">
      <c r="A39" s="20">
        <v>2012</v>
      </c>
      <c r="B39" s="21">
        <v>27386</v>
      </c>
      <c r="C39" s="21">
        <v>3890</v>
      </c>
      <c r="D39" s="21">
        <v>1955</v>
      </c>
      <c r="E39" s="21">
        <v>4146</v>
      </c>
      <c r="F39" s="21">
        <v>178</v>
      </c>
      <c r="G39" s="21">
        <v>652</v>
      </c>
      <c r="H39" s="21">
        <v>460</v>
      </c>
      <c r="I39" s="19">
        <v>38667</v>
      </c>
    </row>
    <row r="40" spans="1:9" ht="15">
      <c r="A40" s="20">
        <v>2013</v>
      </c>
      <c r="B40" s="21">
        <f>327+12135+13387+1188+251</f>
        <v>27288</v>
      </c>
      <c r="C40" s="21">
        <f>2579+867+225+88</f>
        <v>3759</v>
      </c>
      <c r="D40" s="21">
        <v>1862</v>
      </c>
      <c r="E40" s="21">
        <f>1984+647+420+1078+165</f>
        <v>4294</v>
      </c>
      <c r="F40" s="21">
        <f>10+147+14</f>
        <v>171</v>
      </c>
      <c r="G40" s="21">
        <f>166+25+247</f>
        <v>438</v>
      </c>
      <c r="H40" s="21">
        <f>246+79+278</f>
        <v>603</v>
      </c>
      <c r="I40" s="19">
        <f>SUM(B40:H40)</f>
        <v>38415</v>
      </c>
    </row>
    <row r="41" spans="1:9" ht="15">
      <c r="A41" s="20">
        <v>2014</v>
      </c>
      <c r="B41" s="21">
        <f>367+12145+13080+1172+249</f>
        <v>27013</v>
      </c>
      <c r="C41" s="21">
        <f>2488+845+218+85</f>
        <v>3636</v>
      </c>
      <c r="D41" s="21">
        <v>1772</v>
      </c>
      <c r="E41" s="21">
        <f>2017+650+468+1085+175</f>
        <v>4395</v>
      </c>
      <c r="F41" s="21">
        <f>9+147+14</f>
        <v>170</v>
      </c>
      <c r="G41" s="21">
        <f>162+26+254</f>
        <v>442</v>
      </c>
      <c r="H41" s="21">
        <f>224+69+287</f>
        <v>580</v>
      </c>
      <c r="I41" s="19">
        <f>SUM(B41:H41)</f>
        <v>38008</v>
      </c>
    </row>
    <row r="42" spans="1:9" ht="15">
      <c r="A42" s="20">
        <v>2015</v>
      </c>
      <c r="B42" s="21">
        <v>26968</v>
      </c>
      <c r="C42" s="21">
        <v>3528</v>
      </c>
      <c r="D42" s="21">
        <v>1697</v>
      </c>
      <c r="E42" s="21">
        <v>4586</v>
      </c>
      <c r="F42" s="21">
        <v>188</v>
      </c>
      <c r="G42" s="21">
        <v>449</v>
      </c>
      <c r="H42" s="21">
        <v>550</v>
      </c>
      <c r="I42" s="84">
        <f>SUM(B42:H42)</f>
        <v>37966</v>
      </c>
    </row>
    <row r="43" spans="1:9" ht="15">
      <c r="A43" s="20">
        <v>2016</v>
      </c>
      <c r="B43" s="21">
        <v>27306</v>
      </c>
      <c r="C43" s="21">
        <v>3582</v>
      </c>
      <c r="D43" s="21">
        <v>1633</v>
      </c>
      <c r="E43" s="21">
        <v>4833</v>
      </c>
      <c r="F43" s="21">
        <v>181</v>
      </c>
      <c r="G43" s="21">
        <v>470</v>
      </c>
      <c r="H43" s="21">
        <v>538</v>
      </c>
      <c r="I43" s="84">
        <f>SUM(B43:H43)</f>
        <v>38543</v>
      </c>
    </row>
    <row r="44" spans="1:9" ht="15">
      <c r="A44" s="20">
        <v>2017</v>
      </c>
      <c r="B44" s="21">
        <v>27768</v>
      </c>
      <c r="C44" s="21">
        <v>3573</v>
      </c>
      <c r="D44" s="21">
        <v>1599</v>
      </c>
      <c r="E44" s="21">
        <v>5099</v>
      </c>
      <c r="F44" s="21">
        <v>185</v>
      </c>
      <c r="G44" s="21">
        <v>491</v>
      </c>
      <c r="H44" s="21">
        <v>537</v>
      </c>
      <c r="I44" s="84">
        <f>SUM(B44:H44)</f>
        <v>39252</v>
      </c>
    </row>
    <row r="45" spans="1:9" s="153" customFormat="1" ht="15.75" thickBot="1">
      <c r="A45" s="170">
        <v>2018</v>
      </c>
      <c r="B45" s="171">
        <v>28083</v>
      </c>
      <c r="C45" s="171">
        <v>3253</v>
      </c>
      <c r="D45" s="171">
        <v>1515</v>
      </c>
      <c r="E45" s="171">
        <v>4842</v>
      </c>
      <c r="F45" s="171">
        <v>173</v>
      </c>
      <c r="G45" s="171">
        <v>476</v>
      </c>
      <c r="H45" s="171">
        <v>518</v>
      </c>
      <c r="I45" s="172">
        <v>38860</v>
      </c>
    </row>
    <row r="46" spans="1:9" s="156" customFormat="1" ht="15.75" thickBot="1">
      <c r="A46" s="83">
        <v>2019</v>
      </c>
      <c r="B46" s="83">
        <v>26282</v>
      </c>
      <c r="C46" s="83">
        <v>3218</v>
      </c>
      <c r="D46" s="83">
        <v>1492</v>
      </c>
      <c r="E46" s="83">
        <v>5052</v>
      </c>
      <c r="F46" s="169">
        <v>183</v>
      </c>
      <c r="G46" s="83">
        <v>483</v>
      </c>
      <c r="H46" s="83">
        <v>518</v>
      </c>
      <c r="I46" s="83">
        <v>37228</v>
      </c>
    </row>
    <row r="47" spans="1:9" ht="15">
      <c r="A47" s="141" t="s">
        <v>76</v>
      </c>
      <c r="B47" s="21"/>
      <c r="C47" s="21"/>
      <c r="D47" s="21"/>
      <c r="E47" s="21"/>
      <c r="F47" s="21"/>
      <c r="G47" s="21"/>
      <c r="H47" s="21"/>
      <c r="I47" s="84"/>
    </row>
    <row r="48" spans="1:9" ht="15">
      <c r="A48" s="79" t="s">
        <v>74</v>
      </c>
      <c r="B48" s="12"/>
      <c r="C48" s="12"/>
      <c r="D48" s="12"/>
      <c r="E48" s="12"/>
      <c r="F48" s="12"/>
      <c r="G48" s="12"/>
      <c r="H48" s="12"/>
      <c r="I48" s="12"/>
    </row>
    <row r="49" spans="1:9" ht="15">
      <c r="A49" s="24"/>
      <c r="B49" s="12"/>
      <c r="C49" s="12"/>
      <c r="D49" s="12"/>
      <c r="E49" s="12"/>
      <c r="F49" s="155"/>
      <c r="G49" s="12"/>
      <c r="H49" s="12"/>
      <c r="I49" s="12"/>
    </row>
    <row r="50" spans="1:9" ht="15">
      <c r="A50" s="23"/>
      <c r="B50" s="12"/>
      <c r="C50" s="12"/>
      <c r="D50" s="12"/>
      <c r="E50" s="12"/>
      <c r="F50" s="12"/>
      <c r="G50" s="12"/>
      <c r="H50" s="12"/>
      <c r="I50" s="12"/>
    </row>
    <row r="51" spans="1:9" ht="15">
      <c r="A51" s="23"/>
      <c r="B51" s="12"/>
      <c r="C51" s="12"/>
      <c r="D51" s="12"/>
      <c r="E51" s="12"/>
      <c r="F51" s="12"/>
      <c r="G51" s="12"/>
      <c r="H51" s="12"/>
      <c r="I51" s="12"/>
    </row>
    <row r="52" spans="1:9" ht="15">
      <c r="A52" s="23"/>
      <c r="B52" s="12"/>
      <c r="C52" s="12"/>
      <c r="D52" s="12"/>
      <c r="E52" s="12"/>
      <c r="F52" s="12"/>
      <c r="G52" s="12"/>
      <c r="H52" s="12"/>
      <c r="I52" s="12"/>
    </row>
    <row r="53" spans="1:9" ht="15">
      <c r="A53" s="23"/>
      <c r="B53" s="12"/>
      <c r="C53" s="12"/>
      <c r="D53" s="12"/>
      <c r="E53" s="12"/>
      <c r="F53" s="12"/>
      <c r="G53" s="12"/>
      <c r="H53" s="12"/>
      <c r="I53" s="12"/>
    </row>
    <row r="54" spans="1:9" ht="15">
      <c r="A54" s="23"/>
      <c r="B54" s="12"/>
      <c r="C54" s="12"/>
      <c r="D54" s="12"/>
      <c r="E54" s="12"/>
      <c r="F54" s="12"/>
      <c r="G54" s="12"/>
      <c r="H54" s="12"/>
      <c r="I54" s="12"/>
    </row>
    <row r="55" spans="1:9" ht="15">
      <c r="A55" s="23"/>
      <c r="B55" s="12"/>
      <c r="C55" s="12"/>
      <c r="D55" s="12"/>
      <c r="E55" s="12"/>
      <c r="F55" s="12"/>
      <c r="G55" s="12"/>
      <c r="H55" s="12"/>
      <c r="I55" s="12"/>
    </row>
    <row r="56" spans="1:9" ht="15">
      <c r="A56" s="23"/>
      <c r="B56" s="12"/>
      <c r="C56" s="12"/>
      <c r="D56" s="12"/>
      <c r="E56" s="12"/>
      <c r="F56" s="12"/>
      <c r="G56" s="12"/>
      <c r="H56" s="12"/>
      <c r="I56" s="12"/>
    </row>
    <row r="57" spans="1:9" ht="15">
      <c r="A57" s="23"/>
      <c r="B57" s="12"/>
      <c r="C57" s="12"/>
      <c r="D57" s="12"/>
      <c r="E57" s="12"/>
      <c r="F57" s="12"/>
      <c r="G57" s="12"/>
      <c r="H57" s="12"/>
      <c r="I57" s="12"/>
    </row>
    <row r="58" spans="1:9" ht="15">
      <c r="A58" s="23"/>
      <c r="B58" s="12"/>
      <c r="C58" s="12"/>
      <c r="D58" s="12"/>
      <c r="E58" s="12"/>
      <c r="F58" s="12"/>
      <c r="G58" s="12"/>
      <c r="H58" s="12"/>
      <c r="I58" s="12"/>
    </row>
    <row r="59" spans="1:9" ht="15">
      <c r="A59" s="23"/>
      <c r="B59" s="12"/>
      <c r="C59" s="12"/>
      <c r="D59" s="12"/>
      <c r="E59" s="12"/>
      <c r="F59" s="12"/>
      <c r="G59" s="12"/>
      <c r="H59" s="12"/>
      <c r="I59" s="12"/>
    </row>
    <row r="60" spans="1:9" ht="15">
      <c r="A60" s="23"/>
      <c r="B60" s="12"/>
      <c r="C60" s="12"/>
      <c r="D60" s="12"/>
      <c r="E60" s="12"/>
      <c r="F60" s="12"/>
      <c r="G60" s="12"/>
      <c r="H60" s="12"/>
      <c r="I60" s="12"/>
    </row>
    <row r="61" spans="1:9" ht="15">
      <c r="A61" s="23"/>
      <c r="B61" s="12"/>
      <c r="C61" s="12"/>
      <c r="D61" s="12"/>
      <c r="E61" s="12"/>
      <c r="F61" s="12"/>
      <c r="G61" s="12"/>
      <c r="H61" s="12"/>
      <c r="I61" s="12"/>
    </row>
    <row r="62" spans="1:9" ht="15">
      <c r="A62" s="23"/>
      <c r="B62" s="12"/>
      <c r="C62" s="12"/>
      <c r="D62" s="12"/>
      <c r="E62" s="12"/>
      <c r="F62" s="12"/>
      <c r="G62" s="12"/>
      <c r="H62" s="12"/>
      <c r="I62" s="12"/>
    </row>
    <row r="63" spans="1:9" ht="15">
      <c r="A63" s="23"/>
      <c r="B63" s="12"/>
      <c r="C63" s="12"/>
      <c r="D63" s="12"/>
      <c r="E63" s="12"/>
      <c r="F63" s="12"/>
      <c r="G63" s="12"/>
      <c r="H63" s="12"/>
      <c r="I63" s="12"/>
    </row>
    <row r="64" spans="1:9" ht="15">
      <c r="A64" s="23"/>
      <c r="B64" s="12"/>
      <c r="C64" s="12"/>
      <c r="D64" s="12"/>
      <c r="E64" s="12"/>
      <c r="F64" s="12"/>
      <c r="G64" s="12"/>
      <c r="H64" s="12"/>
      <c r="I64" s="12"/>
    </row>
    <row r="65" spans="1:9" ht="15">
      <c r="A65" s="23"/>
      <c r="B65" s="12"/>
      <c r="C65" s="12"/>
      <c r="D65" s="12"/>
      <c r="E65" s="12"/>
      <c r="F65" s="12"/>
      <c r="G65" s="12"/>
      <c r="H65" s="12"/>
      <c r="I65" s="12"/>
    </row>
    <row r="66" spans="1:9" ht="15">
      <c r="A66" s="23"/>
      <c r="B66" s="12"/>
      <c r="C66" s="12"/>
      <c r="D66" s="12"/>
      <c r="E66" s="12"/>
      <c r="F66" s="12"/>
      <c r="G66" s="12"/>
      <c r="H66" s="12"/>
      <c r="I66" s="12"/>
    </row>
    <row r="67" spans="1:9" ht="15">
      <c r="A67" s="23"/>
      <c r="B67" s="12"/>
      <c r="C67" s="12"/>
      <c r="D67" s="12"/>
      <c r="E67" s="12"/>
      <c r="F67" s="12"/>
      <c r="G67" s="12"/>
      <c r="H67" s="12"/>
      <c r="I67" s="12"/>
    </row>
    <row r="68" spans="1:9" ht="15">
      <c r="A68" s="23"/>
      <c r="B68" s="12"/>
      <c r="C68" s="12"/>
      <c r="D68" s="12"/>
      <c r="E68" s="12"/>
      <c r="F68" s="12"/>
      <c r="G68" s="12"/>
      <c r="H68" s="12"/>
      <c r="I68" s="12"/>
    </row>
    <row r="69" spans="1:9" ht="15">
      <c r="A69" s="23"/>
      <c r="B69" s="12"/>
      <c r="C69" s="12"/>
      <c r="D69" s="12"/>
      <c r="E69" s="12"/>
      <c r="F69" s="12"/>
      <c r="G69" s="12"/>
      <c r="H69" s="12"/>
      <c r="I69" s="12"/>
    </row>
    <row r="70" spans="1:9" ht="15">
      <c r="A70" s="23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23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23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2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23"/>
      <c r="B74" s="12"/>
      <c r="C74" s="12"/>
      <c r="D74" s="12"/>
      <c r="E74" s="12"/>
      <c r="F74" s="12"/>
      <c r="G74" s="12"/>
      <c r="H74" s="12"/>
      <c r="I74" s="12"/>
    </row>
  </sheetData>
  <sheetProtection/>
  <hyperlinks>
    <hyperlink ref="A48" location="Índex!A1" display="Índex"/>
  </hyperlinks>
  <printOptions/>
  <pageMargins left="0.7" right="0.7" top="0.75" bottom="0.75" header="0.3" footer="0.3"/>
  <pageSetup horizontalDpi="200" verticalDpi="200" orientation="portrait" paperSize="9" r:id="rId3"/>
  <headerFooter>
    <oddFooter>&amp;L&amp;G</oddFooter>
  </headerFooter>
  <ignoredErrors>
    <ignoredError sqref="I35:I36 I42:I44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6"/>
  <sheetViews>
    <sheetView showGridLines="0" tabSelected="1" view="pageLayout" workbookViewId="0" topLeftCell="A34">
      <selection activeCell="F48" sqref="F48"/>
    </sheetView>
  </sheetViews>
  <sheetFormatPr defaultColWidth="11.421875" defaultRowHeight="15"/>
  <cols>
    <col min="1" max="1" width="7.28125" style="0" customWidth="1"/>
    <col min="2" max="2" width="9.140625" style="0" bestFit="1" customWidth="1"/>
    <col min="3" max="3" width="8.8515625" style="0" bestFit="1" customWidth="1"/>
    <col min="4" max="4" width="11.7109375" style="0" bestFit="1" customWidth="1"/>
    <col min="5" max="5" width="12.28125" style="0" bestFit="1" customWidth="1"/>
    <col min="6" max="6" width="12.57421875" style="0" bestFit="1" customWidth="1"/>
    <col min="7" max="7" width="8.7109375" style="0" bestFit="1" customWidth="1"/>
    <col min="8" max="8" width="8.28125" style="0" bestFit="1" customWidth="1"/>
    <col min="9" max="9" width="6.8515625" style="0" customWidth="1"/>
    <col min="10" max="10" width="5.00390625" style="0" customWidth="1"/>
  </cols>
  <sheetData>
    <row r="1" spans="1:9" ht="15">
      <c r="A1" s="25" t="s">
        <v>92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25"/>
      <c r="B2" s="12"/>
      <c r="C2" s="12"/>
      <c r="D2" s="12"/>
      <c r="E2" s="12"/>
      <c r="F2" s="12"/>
      <c r="G2" s="12"/>
      <c r="H2" s="12"/>
      <c r="I2" s="12"/>
    </row>
    <row r="3" spans="1:9" ht="15">
      <c r="A3" s="25"/>
      <c r="B3" s="12"/>
      <c r="C3" s="12"/>
      <c r="D3" s="12"/>
      <c r="E3" s="12"/>
      <c r="F3" s="12"/>
      <c r="G3" s="12"/>
      <c r="H3" s="12"/>
      <c r="I3" s="12"/>
    </row>
    <row r="4" spans="1:9" ht="15">
      <c r="A4" s="25"/>
      <c r="B4" s="12"/>
      <c r="C4" s="12"/>
      <c r="D4" s="12"/>
      <c r="E4" s="12"/>
      <c r="F4" s="12"/>
      <c r="G4" s="12"/>
      <c r="H4" s="12"/>
      <c r="I4" s="12"/>
    </row>
    <row r="5" spans="1:9" ht="15">
      <c r="A5" s="25"/>
      <c r="B5" s="12"/>
      <c r="C5" s="12"/>
      <c r="D5" s="12"/>
      <c r="E5" s="12"/>
      <c r="F5" s="12"/>
      <c r="G5" s="12"/>
      <c r="H5" s="12"/>
      <c r="I5" s="12"/>
    </row>
    <row r="6" spans="1:9" ht="15">
      <c r="A6" s="25"/>
      <c r="B6" s="12"/>
      <c r="C6" s="12"/>
      <c r="D6" s="12"/>
      <c r="E6" s="12"/>
      <c r="F6" s="12"/>
      <c r="G6" s="12"/>
      <c r="H6" s="12"/>
      <c r="I6" s="12"/>
    </row>
    <row r="7" spans="1:9" ht="15">
      <c r="A7" s="25"/>
      <c r="B7" s="12"/>
      <c r="C7" s="12"/>
      <c r="D7" s="12"/>
      <c r="E7" s="12"/>
      <c r="F7" s="12"/>
      <c r="G7" s="12"/>
      <c r="H7" s="12"/>
      <c r="I7" s="12"/>
    </row>
    <row r="8" spans="1:9" ht="15">
      <c r="A8" s="25"/>
      <c r="B8" s="12"/>
      <c r="C8" s="12"/>
      <c r="D8" s="12"/>
      <c r="E8" s="12"/>
      <c r="F8" s="12"/>
      <c r="G8" s="12"/>
      <c r="H8" s="12"/>
      <c r="I8" s="12"/>
    </row>
    <row r="9" spans="1:9" ht="15">
      <c r="A9" s="25"/>
      <c r="B9" s="12"/>
      <c r="C9" s="12"/>
      <c r="D9" s="12"/>
      <c r="E9" s="12"/>
      <c r="F9" s="12"/>
      <c r="G9" s="12"/>
      <c r="H9" s="12"/>
      <c r="I9" s="12"/>
    </row>
    <row r="10" spans="1:9" ht="15">
      <c r="A10" s="25"/>
      <c r="B10" s="12"/>
      <c r="C10" s="12"/>
      <c r="D10" s="12"/>
      <c r="E10" s="12"/>
      <c r="F10" s="12"/>
      <c r="G10" s="12"/>
      <c r="H10" s="12"/>
      <c r="I10" s="12"/>
    </row>
    <row r="11" spans="1:9" ht="15">
      <c r="A11" s="25"/>
      <c r="B11" s="12"/>
      <c r="C11" s="12"/>
      <c r="D11" s="12"/>
      <c r="E11" s="12"/>
      <c r="F11" s="12"/>
      <c r="G11" s="12"/>
      <c r="H11" s="12"/>
      <c r="I11" s="12"/>
    </row>
    <row r="12" spans="1:9" ht="15">
      <c r="A12" s="25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25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25"/>
      <c r="B14" s="12"/>
      <c r="C14" s="12"/>
      <c r="D14" s="12"/>
      <c r="E14" s="12"/>
      <c r="F14" s="12"/>
      <c r="G14" s="12"/>
      <c r="H14" s="12"/>
      <c r="I14" s="12"/>
    </row>
    <row r="15" spans="1:9" ht="15">
      <c r="A15" s="25"/>
      <c r="B15" s="12"/>
      <c r="C15" s="12"/>
      <c r="D15" s="12"/>
      <c r="E15" s="12"/>
      <c r="F15" s="12"/>
      <c r="G15" s="12"/>
      <c r="H15" s="12"/>
      <c r="I15" s="12"/>
    </row>
    <row r="16" spans="1:9" ht="15">
      <c r="A16" s="25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25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25"/>
      <c r="B18" s="12"/>
      <c r="C18" s="12"/>
      <c r="D18" s="12"/>
      <c r="E18" s="12"/>
      <c r="F18" s="12"/>
      <c r="G18" s="12"/>
      <c r="H18" s="12"/>
      <c r="I18" s="12"/>
    </row>
    <row r="19" spans="1:9" ht="15">
      <c r="A19" s="25"/>
      <c r="B19" s="12"/>
      <c r="C19" s="12"/>
      <c r="D19" s="12"/>
      <c r="E19" s="12"/>
      <c r="F19" s="12"/>
      <c r="G19" s="12"/>
      <c r="H19" s="12"/>
      <c r="I19" s="12"/>
    </row>
    <row r="20" spans="1:9" ht="1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thickBot="1">
      <c r="A21" s="83" t="s">
        <v>18</v>
      </c>
      <c r="B21" s="83" t="s">
        <v>19</v>
      </c>
      <c r="C21" s="83" t="s">
        <v>20</v>
      </c>
      <c r="D21" s="83" t="s">
        <v>21</v>
      </c>
      <c r="E21" s="83" t="s">
        <v>22</v>
      </c>
      <c r="F21" s="83" t="s">
        <v>23</v>
      </c>
      <c r="G21" s="83" t="s">
        <v>24</v>
      </c>
      <c r="H21" s="83" t="s">
        <v>25</v>
      </c>
      <c r="I21" s="83" t="s">
        <v>26</v>
      </c>
    </row>
    <row r="22" spans="1:9" ht="15">
      <c r="A22" s="26">
        <v>1998</v>
      </c>
      <c r="B22" s="27">
        <v>378.5193289569657</v>
      </c>
      <c r="C22" s="27">
        <v>54.90517870167761</v>
      </c>
      <c r="D22" s="27">
        <v>35.120350109409195</v>
      </c>
      <c r="E22" s="27">
        <v>27.844638949671772</v>
      </c>
      <c r="F22" s="27">
        <v>1.5864332603938731</v>
      </c>
      <c r="G22" s="27">
        <v>6.710430342815464</v>
      </c>
      <c r="H22" s="27">
        <v>6.2180889861415025</v>
      </c>
      <c r="I22" s="86">
        <f>28222/55.575</f>
        <v>507.81826360773726</v>
      </c>
    </row>
    <row r="23" spans="1:9" ht="15">
      <c r="A23" s="26">
        <v>1999</v>
      </c>
      <c r="B23" s="27">
        <v>402.0332883490778</v>
      </c>
      <c r="C23" s="27">
        <v>57.11201079622132</v>
      </c>
      <c r="D23" s="27">
        <v>39.44219523166891</v>
      </c>
      <c r="E23" s="27">
        <v>28.627980206927578</v>
      </c>
      <c r="F23" s="27">
        <v>1.5654520917678811</v>
      </c>
      <c r="G23" s="27">
        <v>7.431399010346379</v>
      </c>
      <c r="H23" s="27">
        <v>7.089518668466037</v>
      </c>
      <c r="I23" s="86">
        <f>30194/56.112</f>
        <v>538.1023666951811</v>
      </c>
    </row>
    <row r="24" spans="1:9" ht="15">
      <c r="A24" s="26">
        <v>2000</v>
      </c>
      <c r="B24" s="27">
        <v>399.2372398061021</v>
      </c>
      <c r="C24" s="27">
        <v>57.670373538637016</v>
      </c>
      <c r="D24" s="27">
        <v>44.48246364414029</v>
      </c>
      <c r="E24" s="27">
        <v>28.763900769888792</v>
      </c>
      <c r="F24" s="27">
        <v>1.532648987738808</v>
      </c>
      <c r="G24" s="27">
        <v>7.413743940690049</v>
      </c>
      <c r="H24" s="27">
        <v>7.378100940975192</v>
      </c>
      <c r="I24" s="86">
        <f>31011/57.132</f>
        <v>542.7956311699223</v>
      </c>
    </row>
    <row r="25" spans="1:9" ht="15">
      <c r="A25" s="26">
        <v>2001</v>
      </c>
      <c r="B25" s="27">
        <v>410.06791290345166</v>
      </c>
      <c r="C25" s="27">
        <v>58.268571028495415</v>
      </c>
      <c r="D25" s="27">
        <v>47.906602254428336</v>
      </c>
      <c r="E25" s="27">
        <v>29.458097038437305</v>
      </c>
      <c r="F25" s="27">
        <v>1.4352727018133444</v>
      </c>
      <c r="G25" s="27">
        <v>7.176363509066722</v>
      </c>
      <c r="H25" s="27">
        <v>7.631449975495345</v>
      </c>
      <c r="I25" s="86">
        <f>32102/58.213</f>
        <v>551.4575782041812</v>
      </c>
    </row>
    <row r="26" spans="1:9" ht="15">
      <c r="A26" s="26">
        <v>2002</v>
      </c>
      <c r="B26" s="27">
        <v>414.35761771425626</v>
      </c>
      <c r="C26" s="27">
        <v>58.16570181918129</v>
      </c>
      <c r="D26" s="27">
        <v>32.174943741088754</v>
      </c>
      <c r="E26" s="27">
        <v>29.90740899799014</v>
      </c>
      <c r="F26" s="27">
        <v>1.4086200676824763</v>
      </c>
      <c r="G26" s="27">
        <v>7.592805730678715</v>
      </c>
      <c r="H26" s="27">
        <v>7.987906481370141</v>
      </c>
      <c r="I26" s="86">
        <f>32110/59.343</f>
        <v>541.0916199046222</v>
      </c>
    </row>
    <row r="27" spans="1:9" ht="15">
      <c r="A27" s="26">
        <v>2003</v>
      </c>
      <c r="B27" s="27">
        <v>414.9267815917632</v>
      </c>
      <c r="C27" s="27">
        <v>58.5578754023221</v>
      </c>
      <c r="D27" s="27">
        <v>34.24161232158805</v>
      </c>
      <c r="E27" s="27">
        <v>28.899785989922993</v>
      </c>
      <c r="F27" s="27">
        <v>1.4323509091215476</v>
      </c>
      <c r="G27" s="27">
        <v>5.476635828994152</v>
      </c>
      <c r="H27" s="27">
        <v>8.813170887889052</v>
      </c>
      <c r="I27" s="86">
        <f>33332/60.033</f>
        <v>555.2279579564573</v>
      </c>
    </row>
    <row r="28" spans="1:9" ht="15">
      <c r="A28" s="26">
        <v>2004</v>
      </c>
      <c r="B28" s="27">
        <v>414.22217780220876</v>
      </c>
      <c r="C28" s="27">
        <v>59.350690453583866</v>
      </c>
      <c r="D28" s="27">
        <v>34.214515349890895</v>
      </c>
      <c r="E28" s="27">
        <v>30.000166575050386</v>
      </c>
      <c r="F28" s="27">
        <v>1.4158879283060983</v>
      </c>
      <c r="G28" s="27">
        <v>4.86399147135742</v>
      </c>
      <c r="H28" s="27">
        <v>9.228257791547982</v>
      </c>
      <c r="I28" s="86">
        <f>34045/61.043</f>
        <v>557.7216060809593</v>
      </c>
    </row>
    <row r="29" spans="1:9" ht="15">
      <c r="A29" s="26">
        <v>2005</v>
      </c>
      <c r="B29" s="27">
        <v>414.96977540422324</v>
      </c>
      <c r="C29" s="27">
        <v>60.51471913241486</v>
      </c>
      <c r="D29" s="27">
        <v>34.139868617204264</v>
      </c>
      <c r="E29" s="27">
        <v>32.73102567042904</v>
      </c>
      <c r="F29" s="27">
        <v>1.4907524204249463</v>
      </c>
      <c r="G29" s="27">
        <v>5.045623576822895</v>
      </c>
      <c r="H29" s="27">
        <v>9.992955785266124</v>
      </c>
      <c r="I29" s="86">
        <f>35172/61.168</f>
        <v>575.0065393669893</v>
      </c>
    </row>
    <row r="30" spans="1:9" ht="15">
      <c r="A30" s="26">
        <v>2006</v>
      </c>
      <c r="B30" s="27">
        <v>445.88673816374575</v>
      </c>
      <c r="C30" s="27">
        <v>63.57899555323045</v>
      </c>
      <c r="D30" s="27">
        <v>35.57415642165839</v>
      </c>
      <c r="E30" s="27">
        <v>40.462333246141775</v>
      </c>
      <c r="F30" s="27">
        <v>1.7002354172116139</v>
      </c>
      <c r="G30" s="27">
        <v>8.15786031912111</v>
      </c>
      <c r="H30" s="27">
        <v>5.3786293486790475</v>
      </c>
      <c r="I30" s="86">
        <f>37155/61.718</f>
        <v>602.0123788846041</v>
      </c>
    </row>
    <row r="31" spans="1:9" ht="15">
      <c r="A31" s="26">
        <v>2007</v>
      </c>
      <c r="B31" s="27">
        <v>448.361904144658</v>
      </c>
      <c r="C31" s="27">
        <v>65.36180692828673</v>
      </c>
      <c r="D31" s="27">
        <v>34.70624453157912</v>
      </c>
      <c r="E31" s="27">
        <v>47.198548235522864</v>
      </c>
      <c r="F31" s="27">
        <v>2.025341067435756</v>
      </c>
      <c r="G31" s="27">
        <v>7.890728798729706</v>
      </c>
      <c r="H31" s="27">
        <v>9.624420752454713</v>
      </c>
      <c r="I31" s="86">
        <f>37993/62.573</f>
        <v>607.178815143912</v>
      </c>
    </row>
    <row r="32" spans="1:9" ht="15">
      <c r="A32" s="26">
        <v>2008</v>
      </c>
      <c r="B32" s="27">
        <v>427.1650711968421</v>
      </c>
      <c r="C32" s="27">
        <v>68.36814600546562</v>
      </c>
      <c r="D32" s="27">
        <v>33.27313697601202</v>
      </c>
      <c r="E32" s="27">
        <v>50.98045482876001</v>
      </c>
      <c r="F32" s="27">
        <v>2.5410320745369406</v>
      </c>
      <c r="G32" s="27">
        <v>6.408514854649769</v>
      </c>
      <c r="H32" s="27">
        <v>10.963194988253719</v>
      </c>
      <c r="I32" s="86">
        <f>37525/63.489</f>
        <v>591.0472680306825</v>
      </c>
    </row>
    <row r="33" spans="1:9" ht="15">
      <c r="A33" s="26">
        <v>2009</v>
      </c>
      <c r="B33" s="27">
        <v>425.7745436217297</v>
      </c>
      <c r="C33" s="27">
        <v>66.62571469073383</v>
      </c>
      <c r="D33" s="27">
        <v>33.09234670572855</v>
      </c>
      <c r="E33" s="27">
        <v>55.26941674935815</v>
      </c>
      <c r="F33" s="27">
        <v>2.9926443950920634</v>
      </c>
      <c r="G33" s="27">
        <v>6.347556269590007</v>
      </c>
      <c r="H33" s="27">
        <v>10.61601222258974</v>
      </c>
      <c r="I33" s="86">
        <f>38139/64.077</f>
        <v>595.2057680603025</v>
      </c>
    </row>
    <row r="34" spans="1:9" ht="15">
      <c r="A34" s="26">
        <v>2010</v>
      </c>
      <c r="B34" s="27">
        <v>425.30080996301325</v>
      </c>
      <c r="C34" s="27">
        <v>64.5317352560201</v>
      </c>
      <c r="D34" s="27">
        <v>32.195639621080886</v>
      </c>
      <c r="E34" s="27">
        <v>58.53894533139816</v>
      </c>
      <c r="F34" s="27">
        <v>2.7623016058804253</v>
      </c>
      <c r="G34" s="27">
        <v>7.038406916678372</v>
      </c>
      <c r="H34" s="27">
        <v>10.58101971066061</v>
      </c>
      <c r="I34" s="86">
        <f>38507/64.737</f>
        <v>594.8221264500982</v>
      </c>
    </row>
    <row r="35" spans="1:9" ht="15">
      <c r="A35" s="26">
        <v>2011</v>
      </c>
      <c r="B35" s="27">
        <v>420.88759133107806</v>
      </c>
      <c r="C35" s="27">
        <v>61.09334692679611</v>
      </c>
      <c r="D35" s="27">
        <v>31.187728810417536</v>
      </c>
      <c r="E35" s="27">
        <v>61.695784481826465</v>
      </c>
      <c r="F35" s="27">
        <v>2.703245439238766</v>
      </c>
      <c r="G35" s="27">
        <v>7.028438142020791</v>
      </c>
      <c r="H35" s="27">
        <v>10.040625917172559</v>
      </c>
      <c r="I35" s="86">
        <f>38497/65.188</f>
        <v>590.5534760998956</v>
      </c>
    </row>
    <row r="36" spans="1:9" ht="15">
      <c r="A36" s="28">
        <v>2012</v>
      </c>
      <c r="B36" s="29">
        <v>418.0366655981438</v>
      </c>
      <c r="C36" s="29">
        <v>59.379340874051685</v>
      </c>
      <c r="D36" s="29">
        <v>29.84231655752469</v>
      </c>
      <c r="E36" s="29">
        <v>63.28708155882218</v>
      </c>
      <c r="F36" s="29">
        <v>2.717100944879486</v>
      </c>
      <c r="G36" s="29">
        <v>9.95252705652486</v>
      </c>
      <c r="H36" s="29">
        <v>7.0217215429469855</v>
      </c>
      <c r="I36" s="86">
        <f>38667/65.444</f>
        <v>590.8410243872623</v>
      </c>
    </row>
    <row r="37" spans="1:9" ht="15">
      <c r="A37" s="28">
        <v>2013</v>
      </c>
      <c r="B37" s="29">
        <v>416.9671780453518</v>
      </c>
      <c r="C37" s="29">
        <v>57.43842063443555</v>
      </c>
      <c r="D37" s="29">
        <v>28.45180612432003</v>
      </c>
      <c r="E37" s="29">
        <v>65.61334881730946</v>
      </c>
      <c r="F37" s="29">
        <v>2.6129209706008187</v>
      </c>
      <c r="G37" s="29">
        <v>6.692744942240694</v>
      </c>
      <c r="H37" s="29">
        <v>9.213984475276574</v>
      </c>
      <c r="I37" s="86">
        <f>38415/65.358</f>
        <v>587.7627834389057</v>
      </c>
    </row>
    <row r="38" spans="1:9" ht="15">
      <c r="A38" s="28">
        <v>2014</v>
      </c>
      <c r="B38" s="76">
        <v>413.30824076624134</v>
      </c>
      <c r="C38" s="76">
        <v>55.63205728449463</v>
      </c>
      <c r="D38" s="76">
        <v>27.112212736007834</v>
      </c>
      <c r="E38" s="76">
        <v>67.24501973744607</v>
      </c>
      <c r="F38" s="76">
        <v>2.601058783928517</v>
      </c>
      <c r="G38" s="76">
        <v>6.762752838214143</v>
      </c>
      <c r="H38" s="76">
        <v>8.874200556932587</v>
      </c>
      <c r="I38" s="86">
        <f>38008/65.549</f>
        <v>579.8410349509527</v>
      </c>
    </row>
    <row r="39" spans="1:9" ht="15">
      <c r="A39" s="28">
        <v>2015</v>
      </c>
      <c r="B39" s="76">
        <f>26968/65.779</f>
        <v>409.97886863588684</v>
      </c>
      <c r="C39" s="29">
        <f>3528/65.779</f>
        <v>53.634138554857934</v>
      </c>
      <c r="D39" s="29">
        <f>1697/65.779</f>
        <v>25.798507122333877</v>
      </c>
      <c r="E39" s="29">
        <f>4586/65.779</f>
        <v>69.7182991532252</v>
      </c>
      <c r="F39" s="29">
        <f>188/65.779</f>
        <v>2.8580550023563753</v>
      </c>
      <c r="G39" s="29">
        <f>449/65.779</f>
        <v>6.825886681159641</v>
      </c>
      <c r="H39" s="29">
        <f>550/65.779</f>
        <v>8.361331123914928</v>
      </c>
      <c r="I39" s="85">
        <f>37966/65.779</f>
        <v>577.1750862737348</v>
      </c>
    </row>
    <row r="40" spans="1:9" ht="15">
      <c r="A40" s="28">
        <v>2016</v>
      </c>
      <c r="B40" s="76">
        <f>27306/65.993</f>
        <v>413.7711575470126</v>
      </c>
      <c r="C40" s="76">
        <f>3582/65.993</f>
        <v>54.278484081645026</v>
      </c>
      <c r="D40" s="76">
        <f>1633/65.993</f>
        <v>24.7450487172882</v>
      </c>
      <c r="E40" s="76">
        <f>4833/65.993</f>
        <v>73.23504008000849</v>
      </c>
      <c r="F40" s="76">
        <f>181/65.993</f>
        <v>2.7427151364538664</v>
      </c>
      <c r="G40" s="76">
        <f>470/65.993</f>
        <v>7.121967481399543</v>
      </c>
      <c r="H40" s="76">
        <f>538/65.993</f>
        <v>8.15237979785735</v>
      </c>
      <c r="I40" s="85">
        <f>38543/65.993</f>
        <v>584.046792841665</v>
      </c>
    </row>
    <row r="41" spans="1:9" ht="15">
      <c r="A41" s="28">
        <v>2017</v>
      </c>
      <c r="B41" s="76">
        <f>27768/66.371</f>
        <v>418.375495321752</v>
      </c>
      <c r="C41" s="76">
        <f>3573/66.371</f>
        <v>53.83375269319432</v>
      </c>
      <c r="D41" s="76">
        <f>1599/66.371</f>
        <v>24.091847342966055</v>
      </c>
      <c r="E41" s="76">
        <f>5099/66.371</f>
        <v>76.82572207741333</v>
      </c>
      <c r="F41" s="76">
        <f>185/66.371</f>
        <v>2.7873619502493563</v>
      </c>
      <c r="G41" s="76">
        <f>491/66.371</f>
        <v>7.3978092841753185</v>
      </c>
      <c r="H41" s="76">
        <f>357/66.371</f>
        <v>5.378855222913622</v>
      </c>
      <c r="I41" s="85">
        <f>39252/66.371</f>
        <v>591.4028717361499</v>
      </c>
    </row>
    <row r="42" spans="1:9" ht="15">
      <c r="A42" s="28">
        <v>2018</v>
      </c>
      <c r="B42" s="76">
        <f>28083/66.701</f>
        <v>421.0281704921966</v>
      </c>
      <c r="C42" s="76">
        <f>3253/66.701</f>
        <v>48.76988350999236</v>
      </c>
      <c r="D42" s="76">
        <f>1515/66.701</f>
        <v>22.7133026491357</v>
      </c>
      <c r="E42" s="76">
        <f>4842/66.701</f>
        <v>72.59261480337626</v>
      </c>
      <c r="F42" s="76">
        <f>173/66.701</f>
        <v>2.5936642629046043</v>
      </c>
      <c r="G42" s="76">
        <f>476/66.701</f>
        <v>7.1363247927317435</v>
      </c>
      <c r="H42" s="76">
        <f>518/66.701</f>
        <v>7.766000509737486</v>
      </c>
      <c r="I42" s="85">
        <f>38860/66.701</f>
        <v>582.5999610200747</v>
      </c>
    </row>
    <row r="43" spans="1:9" ht="15.75" thickBot="1">
      <c r="A43" s="173">
        <v>2019</v>
      </c>
      <c r="B43" s="174">
        <f>'03.06.01.01'!B46/67.365</f>
        <v>390.14324946188674</v>
      </c>
      <c r="C43" s="174">
        <f>'03.06.01.01'!C46/67.365</f>
        <v>47.76961330067543</v>
      </c>
      <c r="D43" s="174">
        <f>'03.06.01.01'!D46/67.365</f>
        <v>22.147999703109924</v>
      </c>
      <c r="E43" s="174">
        <f>'03.06.01.01'!E46/67.365</f>
        <v>74.99443331106659</v>
      </c>
      <c r="F43" s="174">
        <f>'03.06.01.01'!F46/67.365</f>
        <v>2.7165441995101314</v>
      </c>
      <c r="G43" s="174">
        <f>'03.06.01.01'!G46/67.365</f>
        <v>7.169895346248052</v>
      </c>
      <c r="H43" s="174">
        <f>'03.06.01.01'!H46/67.365</f>
        <v>7.689452980034143</v>
      </c>
      <c r="I43" s="175">
        <f>'03.06.01.01'!I46/67.365</f>
        <v>552.6311883025311</v>
      </c>
    </row>
    <row r="44" spans="1:9" ht="15">
      <c r="A44" s="30" t="s">
        <v>75</v>
      </c>
      <c r="B44" s="12"/>
      <c r="C44" s="12"/>
      <c r="D44" s="12"/>
      <c r="E44" s="12"/>
      <c r="F44" s="12"/>
      <c r="G44" s="12"/>
      <c r="H44" s="12"/>
      <c r="I44" s="12"/>
    </row>
    <row r="45" spans="1:9" ht="15">
      <c r="A45" s="31" t="s">
        <v>27</v>
      </c>
      <c r="B45" s="12"/>
      <c r="C45" s="12"/>
      <c r="D45" s="12"/>
      <c r="E45" s="12"/>
      <c r="F45" s="12"/>
      <c r="G45" s="12"/>
      <c r="H45" s="12"/>
      <c r="I45" s="12"/>
    </row>
    <row r="46" spans="1:9" ht="15">
      <c r="A46" s="79" t="s">
        <v>74</v>
      </c>
      <c r="B46" s="12"/>
      <c r="C46" s="12"/>
      <c r="D46" s="12"/>
      <c r="E46" s="12"/>
      <c r="F46" s="12"/>
      <c r="G46" s="12"/>
      <c r="H46" s="12"/>
      <c r="I46" s="12"/>
    </row>
  </sheetData>
  <sheetProtection/>
  <hyperlinks>
    <hyperlink ref="A46" location="Índex!A1" display="Índex"/>
  </hyperlinks>
  <printOptions/>
  <pageMargins left="0.7" right="0.7" top="0.75" bottom="0.75" header="0.3" footer="0.3"/>
  <pageSetup horizontalDpi="200" verticalDpi="200" orientation="portrait" paperSize="9" r:id="rId3"/>
  <headerFooter>
    <oddFooter>&amp;L&amp;G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showGridLines="0" view="pageLayout" workbookViewId="0" topLeftCell="A1">
      <selection activeCell="L54" sqref="L54"/>
    </sheetView>
  </sheetViews>
  <sheetFormatPr defaultColWidth="11.421875" defaultRowHeight="15"/>
  <cols>
    <col min="1" max="1" width="15.8515625" style="0" customWidth="1"/>
    <col min="2" max="2" width="10.8515625" style="0" customWidth="1"/>
    <col min="3" max="4" width="7.7109375" style="0" bestFit="1" customWidth="1"/>
    <col min="5" max="5" width="9.140625" style="0" bestFit="1" customWidth="1"/>
    <col min="6" max="6" width="6.7109375" style="0" bestFit="1" customWidth="1"/>
    <col min="7" max="9" width="6.57421875" style="0" bestFit="1" customWidth="1"/>
    <col min="10" max="10" width="6.57421875" style="0" customWidth="1"/>
    <col min="11" max="11" width="6.57421875" style="0" bestFit="1" customWidth="1"/>
    <col min="12" max="12" width="6.7109375" style="0" customWidth="1"/>
    <col min="13" max="13" width="4.7109375" style="0" customWidth="1"/>
  </cols>
  <sheetData>
    <row r="1" spans="1:10" ht="15">
      <c r="A1" s="14" t="s">
        <v>67</v>
      </c>
      <c r="B1" s="33"/>
      <c r="C1" s="34"/>
      <c r="D1" s="34"/>
      <c r="E1" s="34"/>
      <c r="F1" s="34"/>
      <c r="G1" s="34"/>
      <c r="H1" s="12"/>
      <c r="I1" s="13"/>
      <c r="J1" s="13"/>
    </row>
    <row r="2" spans="1:10" ht="15">
      <c r="A2" s="14" t="s">
        <v>12</v>
      </c>
      <c r="B2" s="33"/>
      <c r="C2" s="34"/>
      <c r="D2" s="34"/>
      <c r="E2" s="34"/>
      <c r="F2" s="34"/>
      <c r="G2" s="34"/>
      <c r="H2" s="12"/>
      <c r="I2" s="12"/>
      <c r="J2" s="12"/>
    </row>
    <row r="3" spans="1:10" ht="15">
      <c r="A3" s="14" t="s">
        <v>115</v>
      </c>
      <c r="B3" s="33"/>
      <c r="C3" s="34"/>
      <c r="D3" s="34"/>
      <c r="E3" s="34"/>
      <c r="F3" s="34"/>
      <c r="G3" s="34"/>
      <c r="H3" s="12"/>
      <c r="I3" s="12"/>
      <c r="J3" s="12"/>
    </row>
    <row r="4" spans="1:10" ht="15">
      <c r="A4" s="14"/>
      <c r="B4" s="33"/>
      <c r="C4" s="89"/>
      <c r="D4" s="89"/>
      <c r="E4" s="89"/>
      <c r="F4" s="89"/>
      <c r="G4" s="34"/>
      <c r="H4" s="12"/>
      <c r="I4" s="12"/>
      <c r="J4" s="12"/>
    </row>
    <row r="5" spans="1:10" s="152" customFormat="1" ht="15">
      <c r="A5" s="142"/>
      <c r="B5" s="167"/>
      <c r="C5" s="154"/>
      <c r="D5" s="154"/>
      <c r="E5" s="154"/>
      <c r="F5" s="89"/>
      <c r="G5" s="145"/>
      <c r="H5" s="151"/>
      <c r="I5" s="151"/>
      <c r="J5" s="151"/>
    </row>
    <row r="6" spans="1:9" s="152" customFormat="1" ht="15">
      <c r="A6" s="88"/>
      <c r="B6" s="72"/>
      <c r="C6" s="73">
        <v>2009</v>
      </c>
      <c r="D6" s="143">
        <v>2019</v>
      </c>
      <c r="E6" s="89"/>
      <c r="F6" s="145"/>
      <c r="G6" s="151"/>
      <c r="H6" s="151"/>
      <c r="I6" s="151"/>
    </row>
    <row r="7" spans="1:9" s="152" customFormat="1" ht="15">
      <c r="A7" s="88"/>
      <c r="B7" s="74" t="s">
        <v>70</v>
      </c>
      <c r="C7" s="73">
        <v>3845</v>
      </c>
      <c r="D7" s="75">
        <f>L30</f>
        <v>10031</v>
      </c>
      <c r="E7" s="89"/>
      <c r="F7" s="145"/>
      <c r="G7" s="151"/>
      <c r="H7" s="151"/>
      <c r="I7" s="151"/>
    </row>
    <row r="8" spans="1:9" s="152" customFormat="1" ht="15">
      <c r="A8" s="88"/>
      <c r="B8" s="74" t="s">
        <v>71</v>
      </c>
      <c r="C8" s="75">
        <v>5237</v>
      </c>
      <c r="D8" s="75">
        <f>L32</f>
        <v>10761</v>
      </c>
      <c r="E8" s="89"/>
      <c r="F8" s="145"/>
      <c r="G8" s="151"/>
      <c r="H8" s="151"/>
      <c r="I8" s="151"/>
    </row>
    <row r="9" spans="1:9" s="152" customFormat="1" ht="15">
      <c r="A9" s="88"/>
      <c r="B9" s="74" t="s">
        <v>72</v>
      </c>
      <c r="C9" s="75">
        <v>12786</v>
      </c>
      <c r="D9" s="75">
        <f>SUM(L33:L37)</f>
        <v>6227</v>
      </c>
      <c r="E9" s="89"/>
      <c r="F9" s="145"/>
      <c r="G9" s="151"/>
      <c r="H9" s="151"/>
      <c r="I9" s="151"/>
    </row>
    <row r="10" spans="1:9" s="152" customFormat="1" ht="15">
      <c r="A10" s="88"/>
      <c r="B10" s="74" t="s">
        <v>73</v>
      </c>
      <c r="C10" s="75">
        <v>14582</v>
      </c>
      <c r="D10" s="75">
        <f>SUM(L38:L42)</f>
        <v>8399</v>
      </c>
      <c r="E10" s="89"/>
      <c r="F10" s="145"/>
      <c r="G10" s="151"/>
      <c r="H10" s="151"/>
      <c r="I10" s="151"/>
    </row>
    <row r="11" spans="1:10" s="152" customFormat="1" ht="15">
      <c r="A11" s="88"/>
      <c r="B11" s="168"/>
      <c r="C11" s="75"/>
      <c r="D11" s="75"/>
      <c r="E11" s="154"/>
      <c r="F11" s="89"/>
      <c r="G11" s="145"/>
      <c r="H11" s="151"/>
      <c r="I11" s="151"/>
      <c r="J11" s="151"/>
    </row>
    <row r="12" spans="1:10" s="152" customFormat="1" ht="15">
      <c r="A12" s="88"/>
      <c r="B12" s="90"/>
      <c r="C12" s="89"/>
      <c r="D12" s="89"/>
      <c r="E12" s="89"/>
      <c r="F12" s="89"/>
      <c r="G12" s="145"/>
      <c r="H12" s="151"/>
      <c r="I12" s="151"/>
      <c r="J12" s="151"/>
    </row>
    <row r="13" spans="1:10" s="152" customFormat="1" ht="15">
      <c r="A13" s="88"/>
      <c r="B13" s="90"/>
      <c r="C13" s="89"/>
      <c r="D13" s="89"/>
      <c r="E13" s="89"/>
      <c r="F13" s="89"/>
      <c r="G13" s="145"/>
      <c r="H13" s="151"/>
      <c r="I13" s="151"/>
      <c r="J13" s="151"/>
    </row>
    <row r="14" spans="1:10" s="152" customFormat="1" ht="15">
      <c r="A14" s="88"/>
      <c r="B14" s="90"/>
      <c r="C14" s="89"/>
      <c r="D14" s="89"/>
      <c r="E14" s="89"/>
      <c r="F14" s="89"/>
      <c r="G14" s="145"/>
      <c r="H14" s="151"/>
      <c r="I14" s="151"/>
      <c r="J14" s="151"/>
    </row>
    <row r="15" spans="1:10" s="152" customFormat="1" ht="15">
      <c r="A15" s="88"/>
      <c r="B15" s="90"/>
      <c r="C15" s="89"/>
      <c r="D15" s="89"/>
      <c r="E15" s="89"/>
      <c r="F15" s="89"/>
      <c r="G15" s="145"/>
      <c r="H15" s="151"/>
      <c r="I15" s="151"/>
      <c r="J15" s="151"/>
    </row>
    <row r="16" spans="1:10" s="152" customFormat="1" ht="15">
      <c r="A16" s="88"/>
      <c r="B16" s="90"/>
      <c r="C16" s="89"/>
      <c r="D16" s="89"/>
      <c r="E16" s="89"/>
      <c r="F16" s="89"/>
      <c r="G16" s="145"/>
      <c r="H16" s="151"/>
      <c r="I16" s="151"/>
      <c r="J16" s="151"/>
    </row>
    <row r="17" spans="1:10" s="152" customFormat="1" ht="15">
      <c r="A17" s="88"/>
      <c r="B17" s="90"/>
      <c r="C17" s="89"/>
      <c r="D17" s="89"/>
      <c r="E17" s="89"/>
      <c r="F17" s="89"/>
      <c r="G17" s="145"/>
      <c r="H17" s="151"/>
      <c r="I17" s="151"/>
      <c r="J17" s="151"/>
    </row>
    <row r="18" spans="1:10" s="152" customFormat="1" ht="15">
      <c r="A18" s="142"/>
      <c r="B18" s="144"/>
      <c r="C18" s="89"/>
      <c r="D18" s="89"/>
      <c r="E18" s="89"/>
      <c r="F18" s="89"/>
      <c r="G18" s="145"/>
      <c r="H18" s="151"/>
      <c r="I18" s="151"/>
      <c r="J18" s="151"/>
    </row>
    <row r="19" spans="1:10" s="152" customFormat="1" ht="15">
      <c r="A19" s="142"/>
      <c r="B19" s="144"/>
      <c r="C19" s="89"/>
      <c r="D19" s="89"/>
      <c r="E19" s="89"/>
      <c r="F19" s="89"/>
      <c r="G19" s="145"/>
      <c r="H19" s="151"/>
      <c r="I19" s="151"/>
      <c r="J19" s="151"/>
    </row>
    <row r="20" spans="1:10" ht="15">
      <c r="A20" s="88"/>
      <c r="B20" s="90"/>
      <c r="C20" s="89"/>
      <c r="D20" s="89"/>
      <c r="E20" s="89"/>
      <c r="F20" s="89"/>
      <c r="G20" s="89"/>
      <c r="H20" s="12"/>
      <c r="I20" s="12"/>
      <c r="J20" s="12"/>
    </row>
    <row r="21" spans="1:10" ht="15">
      <c r="A21" s="88"/>
      <c r="B21" s="90"/>
      <c r="C21" s="89"/>
      <c r="D21" s="89"/>
      <c r="E21" s="89"/>
      <c r="F21" s="89"/>
      <c r="G21" s="89"/>
      <c r="H21" s="12"/>
      <c r="I21" s="12"/>
      <c r="J21" s="12"/>
    </row>
    <row r="22" spans="1:10" ht="15">
      <c r="A22" s="88"/>
      <c r="B22" s="90"/>
      <c r="C22" s="89"/>
      <c r="D22" s="89"/>
      <c r="E22" s="89"/>
      <c r="F22" s="89"/>
      <c r="G22" s="89"/>
      <c r="H22" s="12"/>
      <c r="I22" s="12"/>
      <c r="J22" s="12"/>
    </row>
    <row r="23" spans="1:10" ht="15">
      <c r="A23" s="88"/>
      <c r="B23" s="90"/>
      <c r="C23" s="89"/>
      <c r="D23" s="89"/>
      <c r="E23" s="89"/>
      <c r="F23" s="89"/>
      <c r="G23" s="89"/>
      <c r="H23" s="12"/>
      <c r="I23" s="12"/>
      <c r="J23" s="12"/>
    </row>
    <row r="24" spans="1:10" ht="15">
      <c r="A24" s="14"/>
      <c r="B24" s="33"/>
      <c r="C24" s="69"/>
      <c r="D24" s="69"/>
      <c r="E24" s="69"/>
      <c r="F24" s="34"/>
      <c r="G24" s="34"/>
      <c r="H24" s="12"/>
      <c r="I24" s="12"/>
      <c r="J24" s="12"/>
    </row>
    <row r="25" spans="1:10" ht="15">
      <c r="A25" s="14"/>
      <c r="B25" s="33"/>
      <c r="C25" s="69"/>
      <c r="D25" s="69"/>
      <c r="E25" s="69"/>
      <c r="F25" s="34"/>
      <c r="G25" s="34"/>
      <c r="H25" s="12"/>
      <c r="I25" s="12"/>
      <c r="J25" s="12"/>
    </row>
    <row r="26" spans="1:10" ht="15">
      <c r="A26" s="15"/>
      <c r="B26" s="35"/>
      <c r="C26" s="69"/>
      <c r="D26" s="69"/>
      <c r="E26" s="69"/>
      <c r="F26" s="34"/>
      <c r="G26" s="34"/>
      <c r="H26" s="12"/>
      <c r="I26" s="12"/>
      <c r="J26" s="12"/>
    </row>
    <row r="27" spans="1:10" ht="15">
      <c r="A27" s="16"/>
      <c r="B27" s="33"/>
      <c r="C27" s="71"/>
      <c r="D27" s="36"/>
      <c r="E27" s="36"/>
      <c r="F27" s="34"/>
      <c r="G27" s="34"/>
      <c r="H27" s="12"/>
      <c r="I27" s="12"/>
      <c r="J27" s="12"/>
    </row>
    <row r="28" spans="1:12" ht="15.75" thickBot="1">
      <c r="A28" s="83" t="s">
        <v>28</v>
      </c>
      <c r="B28" s="176">
        <v>2009</v>
      </c>
      <c r="C28" s="177">
        <v>2010</v>
      </c>
      <c r="D28" s="176">
        <v>2011</v>
      </c>
      <c r="E28" s="176">
        <v>2012</v>
      </c>
      <c r="F28" s="176">
        <v>2013</v>
      </c>
      <c r="G28" s="176">
        <v>2014</v>
      </c>
      <c r="H28" s="87">
        <v>2015</v>
      </c>
      <c r="I28" s="87">
        <v>2016</v>
      </c>
      <c r="J28" s="87">
        <v>2017</v>
      </c>
      <c r="K28" s="87">
        <v>2018</v>
      </c>
      <c r="L28" s="87">
        <v>2019</v>
      </c>
    </row>
    <row r="29" spans="1:12" ht="15">
      <c r="A29" s="37"/>
      <c r="B29" s="38"/>
      <c r="C29" s="34"/>
      <c r="D29" s="38"/>
      <c r="E29" s="38"/>
      <c r="F29" s="38"/>
      <c r="G29" s="34"/>
      <c r="H29" s="12"/>
      <c r="I29" s="12"/>
      <c r="J29" s="12"/>
      <c r="K29" s="12"/>
      <c r="L29" s="12"/>
    </row>
    <row r="30" spans="1:12" ht="15">
      <c r="A30" s="23" t="s">
        <v>29</v>
      </c>
      <c r="B30" s="39">
        <v>3845</v>
      </c>
      <c r="C30" s="39">
        <v>3826</v>
      </c>
      <c r="D30" s="39">
        <v>3830</v>
      </c>
      <c r="E30" s="39">
        <v>4067</v>
      </c>
      <c r="F30" s="39">
        <v>4537</v>
      </c>
      <c r="G30" s="39">
        <f>1109+693+479+387+312+264+311+305+252+239+196+135+96+48+41+54+44+27+28+40+48+30+5+13+9+6+6+7+5+13+7+4+2+7+5+4+2+2+4+2+1+1+1+1+1+1</f>
        <v>5247</v>
      </c>
      <c r="H30" s="42">
        <v>6469</v>
      </c>
      <c r="I30" s="42">
        <v>7750</v>
      </c>
      <c r="J30" s="42">
        <v>9038</v>
      </c>
      <c r="K30" s="42">
        <v>9357</v>
      </c>
      <c r="L30" s="42">
        <v>10031</v>
      </c>
    </row>
    <row r="31" spans="1:12" ht="15">
      <c r="A31" s="23"/>
      <c r="B31" s="39"/>
      <c r="C31" s="39"/>
      <c r="D31" s="39"/>
      <c r="E31" s="39"/>
      <c r="F31" s="39"/>
      <c r="G31" s="39"/>
      <c r="H31" s="42"/>
      <c r="I31" s="42"/>
      <c r="J31" s="42"/>
      <c r="K31" s="42"/>
      <c r="L31" s="42"/>
    </row>
    <row r="32" spans="1:12" ht="15">
      <c r="A32" s="23" t="s">
        <v>30</v>
      </c>
      <c r="B32" s="39">
        <v>5237</v>
      </c>
      <c r="C32" s="39">
        <v>6272</v>
      </c>
      <c r="D32" s="39">
        <v>7300</v>
      </c>
      <c r="E32" s="39">
        <v>8674</v>
      </c>
      <c r="F32" s="39">
        <v>9692</v>
      </c>
      <c r="G32" s="39">
        <f>2261+2004+2240+1999+1717</f>
        <v>10221</v>
      </c>
      <c r="H32" s="42">
        <v>10674</v>
      </c>
      <c r="I32" s="42">
        <v>11224</v>
      </c>
      <c r="J32" s="42">
        <v>11702</v>
      </c>
      <c r="K32" s="42">
        <v>11284</v>
      </c>
      <c r="L32" s="42">
        <v>10761</v>
      </c>
    </row>
    <row r="33" spans="1:12" ht="15">
      <c r="A33" s="23" t="s">
        <v>31</v>
      </c>
      <c r="B33" s="39">
        <v>2468</v>
      </c>
      <c r="C33" s="39">
        <v>2471</v>
      </c>
      <c r="D33" s="39">
        <v>2564</v>
      </c>
      <c r="E33" s="39">
        <v>2164</v>
      </c>
      <c r="F33" s="39">
        <v>2337</v>
      </c>
      <c r="G33" s="39">
        <v>2679</v>
      </c>
      <c r="H33" s="42">
        <v>2905</v>
      </c>
      <c r="I33" s="42">
        <v>2930</v>
      </c>
      <c r="J33" s="42">
        <v>2671</v>
      </c>
      <c r="K33" s="42">
        <v>1782</v>
      </c>
      <c r="L33" s="42">
        <v>1476</v>
      </c>
    </row>
    <row r="34" spans="1:12" ht="15">
      <c r="A34" s="23">
        <v>9</v>
      </c>
      <c r="B34" s="39">
        <v>2626</v>
      </c>
      <c r="C34" s="39">
        <v>2654</v>
      </c>
      <c r="D34" s="39">
        <v>2234</v>
      </c>
      <c r="E34" s="39">
        <v>2392</v>
      </c>
      <c r="F34" s="39">
        <v>2745</v>
      </c>
      <c r="G34" s="39">
        <v>2950</v>
      </c>
      <c r="H34" s="42">
        <v>3026</v>
      </c>
      <c r="I34" s="42">
        <v>2753</v>
      </c>
      <c r="J34" s="42">
        <v>1948</v>
      </c>
      <c r="K34" s="42">
        <v>1513</v>
      </c>
      <c r="L34" s="42">
        <v>1433</v>
      </c>
    </row>
    <row r="35" spans="1:12" ht="15">
      <c r="A35" s="23">
        <v>8</v>
      </c>
      <c r="B35" s="39">
        <v>2710</v>
      </c>
      <c r="C35" s="39">
        <v>2320</v>
      </c>
      <c r="D35" s="39">
        <v>2465</v>
      </c>
      <c r="E35" s="39">
        <v>2792</v>
      </c>
      <c r="F35" s="39">
        <v>3049</v>
      </c>
      <c r="G35" s="39">
        <v>3115</v>
      </c>
      <c r="H35" s="42">
        <v>2804</v>
      </c>
      <c r="I35" s="42">
        <v>1975</v>
      </c>
      <c r="J35" s="42">
        <v>1654</v>
      </c>
      <c r="K35" s="42">
        <v>1477</v>
      </c>
      <c r="L35" s="42">
        <v>1235</v>
      </c>
    </row>
    <row r="36" spans="1:12" ht="15">
      <c r="A36" s="23">
        <v>7</v>
      </c>
      <c r="B36" s="39">
        <v>2374</v>
      </c>
      <c r="C36" s="39">
        <v>2548</v>
      </c>
      <c r="D36" s="39">
        <v>2857</v>
      </c>
      <c r="E36" s="39">
        <v>3125</v>
      </c>
      <c r="F36" s="39">
        <v>3189</v>
      </c>
      <c r="G36" s="39">
        <v>2859</v>
      </c>
      <c r="H36" s="42">
        <v>1965</v>
      </c>
      <c r="I36" s="42">
        <v>1617</v>
      </c>
      <c r="J36" s="42">
        <v>1592</v>
      </c>
      <c r="K36" s="42">
        <v>1253</v>
      </c>
      <c r="L36" s="42">
        <v>1032</v>
      </c>
    </row>
    <row r="37" spans="1:12" ht="15">
      <c r="A37" s="23">
        <v>6</v>
      </c>
      <c r="B37" s="39">
        <v>2608</v>
      </c>
      <c r="C37" s="39">
        <v>2938</v>
      </c>
      <c r="D37" s="39">
        <v>3170</v>
      </c>
      <c r="E37" s="39">
        <v>3239</v>
      </c>
      <c r="F37" s="39">
        <v>2925</v>
      </c>
      <c r="G37" s="39">
        <v>1994</v>
      </c>
      <c r="H37" s="39">
        <v>1629</v>
      </c>
      <c r="I37" s="42">
        <v>1607</v>
      </c>
      <c r="J37" s="42">
        <v>1344</v>
      </c>
      <c r="K37" s="42">
        <v>1026</v>
      </c>
      <c r="L37" s="42">
        <v>1051</v>
      </c>
    </row>
    <row r="38" spans="1:12" ht="15">
      <c r="A38" s="23">
        <v>5</v>
      </c>
      <c r="B38" s="39">
        <v>2970</v>
      </c>
      <c r="C38" s="39">
        <v>3262</v>
      </c>
      <c r="D38" s="39">
        <v>3273</v>
      </c>
      <c r="E38" s="39">
        <v>2987</v>
      </c>
      <c r="F38" s="39">
        <v>1995</v>
      </c>
      <c r="G38" s="39">
        <v>1643</v>
      </c>
      <c r="H38" s="39">
        <v>1638</v>
      </c>
      <c r="I38" s="42">
        <v>1336</v>
      </c>
      <c r="J38" s="42">
        <v>1118</v>
      </c>
      <c r="K38" s="42">
        <v>1050</v>
      </c>
      <c r="L38" s="42">
        <v>1270</v>
      </c>
    </row>
    <row r="39" spans="1:12" ht="15">
      <c r="A39" s="23">
        <v>4</v>
      </c>
      <c r="B39" s="39">
        <v>3284</v>
      </c>
      <c r="C39" s="39">
        <v>3332</v>
      </c>
      <c r="D39" s="39">
        <v>2987</v>
      </c>
      <c r="E39" s="39">
        <v>1985</v>
      </c>
      <c r="F39" s="39">
        <v>1657</v>
      </c>
      <c r="G39" s="39">
        <v>1638</v>
      </c>
      <c r="H39" s="42">
        <v>1316</v>
      </c>
      <c r="I39" s="42">
        <v>1106</v>
      </c>
      <c r="J39" s="42">
        <v>1104</v>
      </c>
      <c r="K39" s="42">
        <v>1292</v>
      </c>
      <c r="L39" s="42">
        <v>1677</v>
      </c>
    </row>
    <row r="40" spans="1:12" ht="15">
      <c r="A40" s="23">
        <v>3</v>
      </c>
      <c r="B40" s="39">
        <v>3348</v>
      </c>
      <c r="C40" s="39">
        <v>3037</v>
      </c>
      <c r="D40" s="39">
        <v>1993</v>
      </c>
      <c r="E40" s="39">
        <v>1676</v>
      </c>
      <c r="F40" s="39">
        <v>1638</v>
      </c>
      <c r="G40" s="39">
        <v>1320</v>
      </c>
      <c r="H40" s="42">
        <v>1087</v>
      </c>
      <c r="I40" s="42">
        <v>1095</v>
      </c>
      <c r="J40" s="42">
        <v>1363</v>
      </c>
      <c r="K40" s="42">
        <v>1699</v>
      </c>
      <c r="L40" s="42">
        <v>1777</v>
      </c>
    </row>
    <row r="41" spans="1:12" ht="15">
      <c r="A41" s="23">
        <v>2</v>
      </c>
      <c r="B41" s="39">
        <v>3020</v>
      </c>
      <c r="C41" s="39">
        <v>2034</v>
      </c>
      <c r="D41" s="39">
        <v>1662</v>
      </c>
      <c r="E41" s="39">
        <v>1638</v>
      </c>
      <c r="F41" s="39">
        <v>1286</v>
      </c>
      <c r="G41" s="39">
        <v>1070</v>
      </c>
      <c r="H41" s="42">
        <v>1082</v>
      </c>
      <c r="I41" s="42">
        <v>1345</v>
      </c>
      <c r="J41" s="42">
        <v>1783</v>
      </c>
      <c r="K41" s="42">
        <v>1683</v>
      </c>
      <c r="L41" s="42">
        <v>1784</v>
      </c>
    </row>
    <row r="42" spans="1:12" ht="15">
      <c r="A42" s="40">
        <v>1</v>
      </c>
      <c r="B42" s="41">
        <v>1960</v>
      </c>
      <c r="C42" s="41">
        <v>1680</v>
      </c>
      <c r="D42" s="41">
        <v>1656</v>
      </c>
      <c r="E42" s="41">
        <v>1259</v>
      </c>
      <c r="F42" s="41">
        <v>992</v>
      </c>
      <c r="G42" s="39">
        <v>1027</v>
      </c>
      <c r="H42" s="42">
        <v>1291</v>
      </c>
      <c r="I42" s="42">
        <v>1676</v>
      </c>
      <c r="J42" s="42">
        <v>1763</v>
      </c>
      <c r="K42" s="42">
        <v>1731</v>
      </c>
      <c r="L42" s="42">
        <v>1891</v>
      </c>
    </row>
    <row r="43" spans="1:12" ht="15">
      <c r="A43" s="40" t="s">
        <v>32</v>
      </c>
      <c r="B43" s="41">
        <v>1651</v>
      </c>
      <c r="C43" s="41">
        <v>2117</v>
      </c>
      <c r="D43" s="41">
        <v>2504</v>
      </c>
      <c r="E43" s="41">
        <v>2669</v>
      </c>
      <c r="F43" s="41">
        <v>2373</v>
      </c>
      <c r="G43" s="39">
        <v>2245</v>
      </c>
      <c r="H43" s="42">
        <v>2080</v>
      </c>
      <c r="I43" s="42">
        <v>2129</v>
      </c>
      <c r="J43" s="42">
        <v>2172</v>
      </c>
      <c r="K43" s="42">
        <v>1713</v>
      </c>
      <c r="L43" s="42">
        <v>1810</v>
      </c>
    </row>
    <row r="44" spans="1:12" ht="15">
      <c r="A44" s="40"/>
      <c r="B44" s="41"/>
      <c r="C44" s="41"/>
      <c r="D44" s="41"/>
      <c r="E44" s="41"/>
      <c r="F44" s="41"/>
      <c r="G44" s="39"/>
      <c r="H44" s="42"/>
      <c r="I44" s="42"/>
      <c r="J44" s="42"/>
      <c r="K44" s="42"/>
      <c r="L44" s="42"/>
    </row>
    <row r="45" spans="1:12" ht="15.75" thickBot="1">
      <c r="A45" s="178" t="s">
        <v>26</v>
      </c>
      <c r="B45" s="179">
        <f>SUM(B30:B43)</f>
        <v>38101</v>
      </c>
      <c r="C45" s="179">
        <f>SUM(C30:C43)</f>
        <v>38491</v>
      </c>
      <c r="D45" s="179">
        <f>SUM(D30:D43)</f>
        <v>38495</v>
      </c>
      <c r="E45" s="179">
        <f>SUM(E30:E43)</f>
        <v>38667</v>
      </c>
      <c r="F45" s="179">
        <f>SUM(F30:F43)</f>
        <v>38415</v>
      </c>
      <c r="G45" s="179">
        <f>SUM(G30:G44)</f>
        <v>38008</v>
      </c>
      <c r="H45" s="180">
        <f>SUM(H30:H44)</f>
        <v>37966</v>
      </c>
      <c r="I45" s="180">
        <f>SUM(I30:I44)</f>
        <v>38543</v>
      </c>
      <c r="J45" s="180">
        <f>SUM(J30:J44)</f>
        <v>39252</v>
      </c>
      <c r="K45" s="180">
        <v>36860</v>
      </c>
      <c r="L45" s="180">
        <v>37228</v>
      </c>
    </row>
    <row r="46" spans="1:10" ht="15">
      <c r="A46" s="22" t="s">
        <v>77</v>
      </c>
      <c r="B46" s="43"/>
      <c r="C46" s="39"/>
      <c r="D46" s="34"/>
      <c r="E46" s="34"/>
      <c r="F46" s="34"/>
      <c r="G46" s="34"/>
      <c r="H46" s="12"/>
      <c r="I46" s="12"/>
      <c r="J46" s="12"/>
    </row>
    <row r="47" ht="15">
      <c r="A47" s="79" t="s">
        <v>74</v>
      </c>
    </row>
  </sheetData>
  <sheetProtection/>
  <hyperlinks>
    <hyperlink ref="A47" location="Índex!A1" display="Índex"/>
  </hyperlinks>
  <printOptions/>
  <pageMargins left="0.7" right="0.5533333333333333" top="0.75" bottom="0.75" header="0.3" footer="0.3"/>
  <pageSetup horizontalDpi="1200" verticalDpi="1200" orientation="portrait" paperSize="9" scale="83" r:id="rId3"/>
  <headerFooter>
    <oddFooter>&amp;L&amp;G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showGridLines="0" view="pageLayout" workbookViewId="0" topLeftCell="A10">
      <selection activeCell="F33" sqref="F33"/>
    </sheetView>
  </sheetViews>
  <sheetFormatPr defaultColWidth="11.421875" defaultRowHeight="15"/>
  <cols>
    <col min="1" max="1" width="22.28125" style="0" customWidth="1"/>
    <col min="2" max="2" width="11.8515625" style="0" customWidth="1"/>
    <col min="3" max="3" width="11.140625" style="0" customWidth="1"/>
    <col min="4" max="6" width="11.140625" style="0" bestFit="1" customWidth="1"/>
    <col min="7" max="7" width="8.7109375" style="0" bestFit="1" customWidth="1"/>
    <col min="8" max="8" width="8.7109375" style="70" bestFit="1" customWidth="1"/>
    <col min="9" max="9" width="8.7109375" style="110" bestFit="1" customWidth="1"/>
    <col min="10" max="10" width="8.7109375" style="0" bestFit="1" customWidth="1"/>
    <col min="11" max="11" width="8.7109375" style="0" customWidth="1"/>
    <col min="12" max="12" width="8.7109375" style="0" bestFit="1" customWidth="1"/>
  </cols>
  <sheetData>
    <row r="1" spans="1:7" ht="15">
      <c r="A1" s="60" t="s">
        <v>68</v>
      </c>
      <c r="B1" s="61"/>
      <c r="C1" s="60"/>
      <c r="D1" s="62"/>
      <c r="E1" s="12"/>
      <c r="F1" s="12"/>
      <c r="G1" s="13"/>
    </row>
    <row r="2" spans="1:7" ht="15">
      <c r="A2" s="63" t="s">
        <v>69</v>
      </c>
      <c r="B2" s="64"/>
      <c r="C2" s="64"/>
      <c r="D2" s="62"/>
      <c r="E2" s="12"/>
      <c r="F2" s="13"/>
      <c r="G2" s="46"/>
    </row>
    <row r="3" spans="1:7" ht="15">
      <c r="A3" s="66" t="s">
        <v>115</v>
      </c>
      <c r="B3" s="65"/>
      <c r="C3" s="65"/>
      <c r="D3" s="65"/>
      <c r="E3" s="23"/>
      <c r="F3" s="12"/>
      <c r="G3" s="46"/>
    </row>
    <row r="4" spans="1:7" ht="15">
      <c r="A4" s="12"/>
      <c r="B4" s="47"/>
      <c r="C4" s="47"/>
      <c r="D4" s="47"/>
      <c r="E4" s="47"/>
      <c r="F4" s="12"/>
      <c r="G4" s="46"/>
    </row>
    <row r="5" spans="1:7" ht="15">
      <c r="A5" s="12"/>
      <c r="B5" s="32"/>
      <c r="C5" s="32"/>
      <c r="D5" s="32"/>
      <c r="E5" s="12"/>
      <c r="F5" s="12"/>
      <c r="G5" s="46"/>
    </row>
    <row r="6" spans="1:12" ht="15.75" thickBot="1">
      <c r="A6" s="87" t="s">
        <v>33</v>
      </c>
      <c r="B6" s="98">
        <v>2009</v>
      </c>
      <c r="C6" s="83">
        <v>2010</v>
      </c>
      <c r="D6" s="83">
        <v>2011</v>
      </c>
      <c r="E6" s="98">
        <v>2012</v>
      </c>
      <c r="F6" s="98">
        <v>2013</v>
      </c>
      <c r="G6" s="98">
        <v>2014</v>
      </c>
      <c r="H6" s="83">
        <v>2015</v>
      </c>
      <c r="I6" s="83">
        <v>2016</v>
      </c>
      <c r="J6" s="83">
        <v>2017</v>
      </c>
      <c r="K6" s="83">
        <v>2018</v>
      </c>
      <c r="L6" s="83">
        <v>2019</v>
      </c>
    </row>
    <row r="7" spans="1:12" ht="15">
      <c r="A7" s="99" t="s">
        <v>34</v>
      </c>
      <c r="B7" s="100"/>
      <c r="C7" s="100"/>
      <c r="D7" s="100"/>
      <c r="E7" s="100"/>
      <c r="F7" s="100"/>
      <c r="G7" s="103"/>
      <c r="H7" s="104"/>
      <c r="I7" s="104"/>
      <c r="J7" s="104"/>
      <c r="K7" s="104"/>
      <c r="L7" s="104"/>
    </row>
    <row r="8" spans="1:12" ht="15">
      <c r="A8" s="12" t="s">
        <v>35</v>
      </c>
      <c r="B8" s="48">
        <v>269588</v>
      </c>
      <c r="C8" s="48">
        <v>282448</v>
      </c>
      <c r="D8" s="48">
        <v>285692</v>
      </c>
      <c r="E8" s="49">
        <v>244523</v>
      </c>
      <c r="F8" s="49">
        <v>230572</v>
      </c>
      <c r="G8" s="50">
        <v>237069</v>
      </c>
      <c r="H8" s="50">
        <v>248790</v>
      </c>
      <c r="I8" s="50">
        <v>244995</v>
      </c>
      <c r="J8" s="50">
        <v>245842</v>
      </c>
      <c r="K8" s="50">
        <v>261466</v>
      </c>
      <c r="L8" s="50">
        <v>258696</v>
      </c>
    </row>
    <row r="9" spans="1:12" ht="15">
      <c r="A9" s="12" t="s">
        <v>36</v>
      </c>
      <c r="B9" s="48">
        <v>211401</v>
      </c>
      <c r="C9" s="48">
        <v>228659</v>
      </c>
      <c r="D9" s="48">
        <v>256058</v>
      </c>
      <c r="E9" s="48">
        <v>344633</v>
      </c>
      <c r="F9" s="48">
        <v>368023</v>
      </c>
      <c r="G9" s="50">
        <v>367462</v>
      </c>
      <c r="H9" s="50">
        <v>361545</v>
      </c>
      <c r="I9" s="50">
        <v>359579</v>
      </c>
      <c r="J9" s="50">
        <v>402287</v>
      </c>
      <c r="K9" s="50">
        <v>411913</v>
      </c>
      <c r="L9" s="50">
        <v>391991</v>
      </c>
    </row>
    <row r="10" spans="1:12" ht="15">
      <c r="A10" s="12" t="s">
        <v>37</v>
      </c>
      <c r="B10" s="48">
        <v>141858</v>
      </c>
      <c r="C10" s="48">
        <v>152333</v>
      </c>
      <c r="D10" s="48">
        <v>161336</v>
      </c>
      <c r="E10" s="48">
        <v>35686</v>
      </c>
      <c r="F10" s="48"/>
      <c r="G10" s="50">
        <v>10353</v>
      </c>
      <c r="H10" s="50">
        <v>10330</v>
      </c>
      <c r="I10" s="50"/>
      <c r="J10" s="50">
        <v>0</v>
      </c>
      <c r="K10" s="50"/>
      <c r="L10" s="50"/>
    </row>
    <row r="11" spans="1:12" ht="15">
      <c r="A11" s="32" t="s">
        <v>38</v>
      </c>
      <c r="B11" s="49">
        <v>9603</v>
      </c>
      <c r="C11" s="49">
        <v>8675</v>
      </c>
      <c r="D11" s="49">
        <v>10759</v>
      </c>
      <c r="E11" s="49">
        <v>13556</v>
      </c>
      <c r="F11" s="49">
        <v>12285</v>
      </c>
      <c r="G11" s="50"/>
      <c r="I11" s="70"/>
      <c r="J11" s="50">
        <v>11673</v>
      </c>
      <c r="K11" s="50">
        <v>17590</v>
      </c>
      <c r="L11" s="50">
        <v>17853</v>
      </c>
    </row>
    <row r="12" spans="1:12" ht="15">
      <c r="A12" s="101" t="s">
        <v>39</v>
      </c>
      <c r="B12" s="105">
        <f>SUM(B8:B11)</f>
        <v>632450</v>
      </c>
      <c r="C12" s="105">
        <f>SUM(C8:C11)</f>
        <v>672115</v>
      </c>
      <c r="D12" s="105">
        <v>713845</v>
      </c>
      <c r="E12" s="105">
        <f aca="true" t="shared" si="0" ref="E12:J12">SUM(E8:E11)</f>
        <v>638398</v>
      </c>
      <c r="F12" s="105">
        <f t="shared" si="0"/>
        <v>610880</v>
      </c>
      <c r="G12" s="106">
        <f t="shared" si="0"/>
        <v>614884</v>
      </c>
      <c r="H12" s="106">
        <f t="shared" si="0"/>
        <v>620665</v>
      </c>
      <c r="I12" s="106">
        <f t="shared" si="0"/>
        <v>604574</v>
      </c>
      <c r="J12" s="106">
        <f t="shared" si="0"/>
        <v>659802</v>
      </c>
      <c r="K12" s="106">
        <f>SUM(K8:K11)</f>
        <v>690969</v>
      </c>
      <c r="L12" s="106">
        <f>SUM(L8:L11)</f>
        <v>668540</v>
      </c>
    </row>
    <row r="13" spans="1:12" ht="15">
      <c r="A13" s="12" t="s">
        <v>41</v>
      </c>
      <c r="B13" s="48">
        <v>648264</v>
      </c>
      <c r="C13" s="48">
        <v>555476</v>
      </c>
      <c r="D13" s="48">
        <v>597799</v>
      </c>
      <c r="E13" s="51">
        <v>571967</v>
      </c>
      <c r="F13" s="51">
        <v>558586</v>
      </c>
      <c r="G13" s="50">
        <v>577218</v>
      </c>
      <c r="H13" s="50">
        <v>564307</v>
      </c>
      <c r="I13" s="50">
        <v>527725</v>
      </c>
      <c r="J13" s="50">
        <v>598323</v>
      </c>
      <c r="K13" s="50">
        <v>606693</v>
      </c>
      <c r="L13" s="50">
        <v>609230</v>
      </c>
    </row>
    <row r="14" spans="1:12" ht="15">
      <c r="A14" s="12" t="s">
        <v>42</v>
      </c>
      <c r="B14" s="48">
        <v>1276646</v>
      </c>
      <c r="C14" s="48">
        <v>1321820</v>
      </c>
      <c r="D14" s="48">
        <v>1393802</v>
      </c>
      <c r="E14" s="51">
        <v>1302821</v>
      </c>
      <c r="F14" s="51">
        <v>1313593</v>
      </c>
      <c r="G14" s="50">
        <v>1321230</v>
      </c>
      <c r="H14" s="50">
        <v>1327000</v>
      </c>
      <c r="I14" s="50">
        <v>1297264</v>
      </c>
      <c r="J14" s="50">
        <v>1393192</v>
      </c>
      <c r="K14" s="50">
        <v>1367473</v>
      </c>
      <c r="L14" s="50">
        <v>1367092</v>
      </c>
    </row>
    <row r="15" spans="1:12" ht="15">
      <c r="A15" s="12" t="s">
        <v>43</v>
      </c>
      <c r="B15" s="48">
        <v>1071174</v>
      </c>
      <c r="C15" s="48">
        <v>1085790</v>
      </c>
      <c r="D15" s="48">
        <v>1104692</v>
      </c>
      <c r="E15" s="51">
        <v>1082572</v>
      </c>
      <c r="F15" s="51">
        <v>1099519</v>
      </c>
      <c r="G15" s="50">
        <v>1136813</v>
      </c>
      <c r="H15" s="50">
        <v>1200306</v>
      </c>
      <c r="I15" s="50">
        <v>1231462</v>
      </c>
      <c r="J15" s="50">
        <v>1213027</v>
      </c>
      <c r="K15" s="50">
        <v>1582186</v>
      </c>
      <c r="L15" s="50">
        <v>1763485</v>
      </c>
    </row>
    <row r="16" spans="1:12" ht="15">
      <c r="A16" s="12" t="s">
        <v>44</v>
      </c>
      <c r="B16" s="48">
        <v>1349317</v>
      </c>
      <c r="C16" s="48">
        <v>1352763</v>
      </c>
      <c r="D16" s="48">
        <v>1407715</v>
      </c>
      <c r="E16" s="51">
        <v>1403230</v>
      </c>
      <c r="F16" s="51">
        <v>1487872</v>
      </c>
      <c r="G16" s="50">
        <v>1542213</v>
      </c>
      <c r="H16" s="50">
        <v>1611214</v>
      </c>
      <c r="I16" s="50">
        <v>1689469</v>
      </c>
      <c r="J16" s="50">
        <v>1858674</v>
      </c>
      <c r="K16" s="50">
        <v>2109529</v>
      </c>
      <c r="L16" s="50">
        <v>2259134</v>
      </c>
    </row>
    <row r="17" spans="1:12" ht="15">
      <c r="A17" s="12" t="s">
        <v>45</v>
      </c>
      <c r="B17" s="48">
        <v>1061721</v>
      </c>
      <c r="C17" s="48">
        <v>1087120</v>
      </c>
      <c r="D17" s="48">
        <v>1110177</v>
      </c>
      <c r="E17" s="51">
        <v>1069311</v>
      </c>
      <c r="F17" s="51">
        <v>1063834</v>
      </c>
      <c r="G17" s="50">
        <v>1083288</v>
      </c>
      <c r="H17" s="50">
        <v>1098761</v>
      </c>
      <c r="I17" s="50">
        <v>1106670</v>
      </c>
      <c r="J17" s="50">
        <v>1030876</v>
      </c>
      <c r="K17" s="50">
        <v>1083198</v>
      </c>
      <c r="L17" s="50">
        <v>1044661</v>
      </c>
    </row>
    <row r="18" spans="1:12" ht="15">
      <c r="A18" s="12" t="s">
        <v>46</v>
      </c>
      <c r="B18" s="48">
        <v>490861</v>
      </c>
      <c r="C18" s="48">
        <v>483972</v>
      </c>
      <c r="D18" s="48">
        <v>503772</v>
      </c>
      <c r="E18" s="51">
        <v>486119</v>
      </c>
      <c r="F18" s="51">
        <v>468711</v>
      </c>
      <c r="G18" s="50">
        <v>490984</v>
      </c>
      <c r="H18" s="50">
        <v>489584</v>
      </c>
      <c r="I18" s="50">
        <v>499191</v>
      </c>
      <c r="J18" s="50">
        <v>524330</v>
      </c>
      <c r="K18" s="50">
        <v>572399</v>
      </c>
      <c r="L18" s="50">
        <v>568060</v>
      </c>
    </row>
    <row r="19" spans="1:12" ht="15">
      <c r="A19" s="12" t="s">
        <v>47</v>
      </c>
      <c r="B19" s="48">
        <v>129378</v>
      </c>
      <c r="C19" s="48">
        <v>128843</v>
      </c>
      <c r="D19" s="48">
        <v>132830</v>
      </c>
      <c r="E19" s="51">
        <v>133481</v>
      </c>
      <c r="F19" s="51">
        <v>135203</v>
      </c>
      <c r="G19" s="50">
        <v>143014</v>
      </c>
      <c r="H19" s="50">
        <v>144376</v>
      </c>
      <c r="I19" s="50">
        <v>148541</v>
      </c>
      <c r="J19" s="50">
        <v>170598</v>
      </c>
      <c r="K19" s="50">
        <v>185218</v>
      </c>
      <c r="L19" s="50">
        <v>189975</v>
      </c>
    </row>
    <row r="20" spans="1:12" ht="15">
      <c r="A20" s="12" t="s">
        <v>48</v>
      </c>
      <c r="B20" s="48">
        <v>2299803</v>
      </c>
      <c r="C20" s="48">
        <v>2299970</v>
      </c>
      <c r="D20" s="48">
        <v>2334867</v>
      </c>
      <c r="E20" s="51">
        <v>2301705</v>
      </c>
      <c r="F20" s="51">
        <v>2318512</v>
      </c>
      <c r="G20" s="50">
        <v>2380222</v>
      </c>
      <c r="H20" s="50">
        <v>2389272</v>
      </c>
      <c r="I20" s="50">
        <v>2457112</v>
      </c>
      <c r="J20" s="50">
        <v>2520919</v>
      </c>
      <c r="K20" s="50">
        <v>2561307</v>
      </c>
      <c r="L20" s="50">
        <v>2913080</v>
      </c>
    </row>
    <row r="21" spans="1:12" ht="15">
      <c r="A21" s="12" t="s">
        <v>49</v>
      </c>
      <c r="B21" s="48">
        <v>1191406</v>
      </c>
      <c r="C21" s="48">
        <v>1245788</v>
      </c>
      <c r="D21" s="48">
        <v>1311565</v>
      </c>
      <c r="E21" s="51">
        <v>1360386</v>
      </c>
      <c r="F21" s="51">
        <v>1405833</v>
      </c>
      <c r="G21" s="50">
        <v>1435210</v>
      </c>
      <c r="H21" s="50">
        <v>1460293</v>
      </c>
      <c r="I21" s="50">
        <v>1482307</v>
      </c>
      <c r="J21" s="50">
        <v>1551148</v>
      </c>
      <c r="K21" s="50">
        <v>1824841</v>
      </c>
      <c r="L21" s="50">
        <v>1727936</v>
      </c>
    </row>
    <row r="22" spans="1:12" ht="15">
      <c r="A22" s="12" t="s">
        <v>50</v>
      </c>
      <c r="B22" s="48">
        <v>146528</v>
      </c>
      <c r="C22" s="48">
        <v>391090</v>
      </c>
      <c r="D22" s="48">
        <v>487450</v>
      </c>
      <c r="E22" s="48">
        <v>495016</v>
      </c>
      <c r="F22" s="48">
        <v>511711</v>
      </c>
      <c r="G22" s="50">
        <v>551628</v>
      </c>
      <c r="H22" s="50">
        <v>587927</v>
      </c>
      <c r="I22" s="50">
        <v>556561</v>
      </c>
      <c r="J22" s="50">
        <v>636753</v>
      </c>
      <c r="K22" s="50">
        <v>717455</v>
      </c>
      <c r="L22" s="50">
        <v>756629</v>
      </c>
    </row>
    <row r="23" spans="1:12" ht="15">
      <c r="A23" s="107" t="s">
        <v>51</v>
      </c>
      <c r="B23" s="105">
        <f>SUM(B13:B22)</f>
        <v>9665098</v>
      </c>
      <c r="C23" s="105">
        <f>SUM(C13:C22)</f>
        <v>9952632</v>
      </c>
      <c r="D23" s="105">
        <v>10911892</v>
      </c>
      <c r="E23" s="105">
        <f aca="true" t="shared" si="1" ref="E23:J23">SUM(E13:E22)</f>
        <v>10206608</v>
      </c>
      <c r="F23" s="105">
        <f t="shared" si="1"/>
        <v>10363374</v>
      </c>
      <c r="G23" s="106">
        <f t="shared" si="1"/>
        <v>10661820</v>
      </c>
      <c r="H23" s="106">
        <f t="shared" si="1"/>
        <v>10873040</v>
      </c>
      <c r="I23" s="106">
        <f t="shared" si="1"/>
        <v>10996302</v>
      </c>
      <c r="J23" s="106">
        <f t="shared" si="1"/>
        <v>11497840</v>
      </c>
      <c r="K23" s="106">
        <f>SUM(K13:K22)</f>
        <v>12610299</v>
      </c>
      <c r="L23" s="106">
        <f>SUM(L13:L22)</f>
        <v>13199282</v>
      </c>
    </row>
    <row r="24" spans="1:12" ht="15">
      <c r="A24" s="12" t="s">
        <v>52</v>
      </c>
      <c r="B24" s="48">
        <v>364269</v>
      </c>
      <c r="C24" s="48">
        <v>359037</v>
      </c>
      <c r="D24" s="48">
        <v>407260</v>
      </c>
      <c r="E24" s="48">
        <v>407248</v>
      </c>
      <c r="F24" s="48">
        <v>424131</v>
      </c>
      <c r="G24" s="50">
        <v>443554</v>
      </c>
      <c r="H24" s="50">
        <v>466230</v>
      </c>
      <c r="I24" s="50">
        <v>494941</v>
      </c>
      <c r="J24" s="50">
        <v>519776</v>
      </c>
      <c r="K24" s="50">
        <v>544550</v>
      </c>
      <c r="L24" s="50">
        <v>552018</v>
      </c>
    </row>
    <row r="25" spans="1:12" ht="15">
      <c r="A25" s="12" t="s">
        <v>53</v>
      </c>
      <c r="B25" s="48">
        <v>299798</v>
      </c>
      <c r="C25" s="48">
        <v>300779</v>
      </c>
      <c r="D25" s="48">
        <v>317293</v>
      </c>
      <c r="E25" s="49">
        <v>359708</v>
      </c>
      <c r="F25" s="49">
        <v>402690</v>
      </c>
      <c r="G25" s="50">
        <v>431221</v>
      </c>
      <c r="H25" s="50">
        <v>469896</v>
      </c>
      <c r="I25" s="50">
        <v>474623</v>
      </c>
      <c r="J25" s="50">
        <v>513979</v>
      </c>
      <c r="K25" s="50">
        <v>529397</v>
      </c>
      <c r="L25" s="50">
        <v>512981</v>
      </c>
    </row>
    <row r="26" spans="1:12" ht="15">
      <c r="A26" s="107" t="s">
        <v>54</v>
      </c>
      <c r="B26" s="105">
        <f>SUM(B24:B25)</f>
        <v>664067</v>
      </c>
      <c r="C26" s="105">
        <f>SUM(C24:C25)</f>
        <v>659816</v>
      </c>
      <c r="D26" s="105">
        <v>724553</v>
      </c>
      <c r="E26" s="105">
        <v>766956</v>
      </c>
      <c r="F26" s="105">
        <f aca="true" t="shared" si="2" ref="F26:L26">SUM(F24:F25)</f>
        <v>826821</v>
      </c>
      <c r="G26" s="106">
        <f t="shared" si="2"/>
        <v>874775</v>
      </c>
      <c r="H26" s="106">
        <f t="shared" si="2"/>
        <v>936126</v>
      </c>
      <c r="I26" s="106">
        <f t="shared" si="2"/>
        <v>969564</v>
      </c>
      <c r="J26" s="106">
        <f t="shared" si="2"/>
        <v>1033755</v>
      </c>
      <c r="K26" s="106">
        <f>SUM(K24:K25)</f>
        <v>1073947</v>
      </c>
      <c r="L26" s="106">
        <f t="shared" si="2"/>
        <v>1064999</v>
      </c>
    </row>
    <row r="27" spans="1:12" ht="15">
      <c r="A27" s="45" t="s">
        <v>26</v>
      </c>
      <c r="B27" s="48">
        <f>SUM(B12+B23+B26)</f>
        <v>10961615</v>
      </c>
      <c r="C27" s="48">
        <f>SUM(C12+C23+C26)</f>
        <v>11284563</v>
      </c>
      <c r="D27" s="48">
        <f>SUM(D12+D23+D26)</f>
        <v>12350290</v>
      </c>
      <c r="E27" s="48">
        <f>E12+E23+E26</f>
        <v>11611962</v>
      </c>
      <c r="F27" s="48">
        <v>12011430</v>
      </c>
      <c r="G27" s="50">
        <f>SUM(G12,G23,G26)</f>
        <v>12151479</v>
      </c>
      <c r="H27" s="50">
        <f>SUM(H12,H23,H26)</f>
        <v>12429831</v>
      </c>
      <c r="I27" s="50">
        <f>I12+I23+I26</f>
        <v>12570440</v>
      </c>
      <c r="J27" s="50">
        <f>J12+J23+J26</f>
        <v>13191397</v>
      </c>
      <c r="K27" s="50">
        <f>K12+K23+K26</f>
        <v>14375215</v>
      </c>
      <c r="L27" s="50">
        <f>L12+L23+L26</f>
        <v>14932821</v>
      </c>
    </row>
    <row r="28" spans="1:12" ht="15.75" thickBot="1">
      <c r="A28" s="102" t="s">
        <v>40</v>
      </c>
      <c r="B28" s="108">
        <f>B27/365</f>
        <v>30031.821917808218</v>
      </c>
      <c r="C28" s="108">
        <f>C27/365</f>
        <v>30916.610958904108</v>
      </c>
      <c r="D28" s="108">
        <f>D27/365</f>
        <v>33836.41095890411</v>
      </c>
      <c r="E28" s="108">
        <f>E27/365</f>
        <v>31813.594520547944</v>
      </c>
      <c r="F28" s="108">
        <v>32908.02739726027</v>
      </c>
      <c r="G28" s="109">
        <f aca="true" t="shared" si="3" ref="G28:L28">G27/365</f>
        <v>33291.72328767123</v>
      </c>
      <c r="H28" s="109">
        <f t="shared" si="3"/>
        <v>34054.33150684932</v>
      </c>
      <c r="I28" s="109">
        <f t="shared" si="3"/>
        <v>34439.561643835616</v>
      </c>
      <c r="J28" s="109">
        <f t="shared" si="3"/>
        <v>36140.81369863014</v>
      </c>
      <c r="K28" s="109">
        <f t="shared" si="3"/>
        <v>39384.150684931505</v>
      </c>
      <c r="L28" s="109">
        <f t="shared" si="3"/>
        <v>40911.838356164386</v>
      </c>
    </row>
    <row r="29" spans="1:7" ht="15">
      <c r="A29" s="32"/>
      <c r="B29" s="12"/>
      <c r="C29" s="12"/>
      <c r="D29" s="12"/>
      <c r="E29" s="12"/>
      <c r="F29" s="12"/>
      <c r="G29" s="46"/>
    </row>
    <row r="30" spans="1:7" ht="15">
      <c r="A30" s="31" t="s">
        <v>55</v>
      </c>
      <c r="B30" s="52"/>
      <c r="C30" s="52"/>
      <c r="D30" s="52"/>
      <c r="E30" s="52"/>
      <c r="F30" s="23"/>
      <c r="G30" s="46"/>
    </row>
    <row r="31" spans="1:7" ht="15">
      <c r="A31" s="31" t="s">
        <v>56</v>
      </c>
      <c r="B31" s="52"/>
      <c r="C31" s="52"/>
      <c r="D31" s="52"/>
      <c r="E31" s="52"/>
      <c r="F31" s="23"/>
      <c r="G31" s="46"/>
    </row>
    <row r="32" spans="1:7" ht="15">
      <c r="A32" s="79" t="s">
        <v>74</v>
      </c>
      <c r="B32" s="23"/>
      <c r="C32" s="23"/>
      <c r="D32" s="23"/>
      <c r="E32" s="53"/>
      <c r="F32" s="52"/>
      <c r="G32" s="46"/>
    </row>
  </sheetData>
  <sheetProtection/>
  <hyperlinks>
    <hyperlink ref="A32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showGridLines="0" view="pageLayout" workbookViewId="0" topLeftCell="A1">
      <selection activeCell="F30" sqref="F30"/>
    </sheetView>
  </sheetViews>
  <sheetFormatPr defaultColWidth="11.421875" defaultRowHeight="15"/>
  <cols>
    <col min="1" max="1" width="8.7109375" style="0" customWidth="1"/>
    <col min="2" max="13" width="9.140625" style="118" bestFit="1" customWidth="1"/>
    <col min="14" max="14" width="10.00390625" style="118" bestFit="1" customWidth="1"/>
  </cols>
  <sheetData>
    <row r="1" spans="1:14" ht="15">
      <c r="A1" s="44" t="s">
        <v>93</v>
      </c>
      <c r="B1" s="112"/>
      <c r="C1" s="113"/>
      <c r="D1" s="113"/>
      <c r="E1" s="113"/>
      <c r="F1" s="113"/>
      <c r="G1" s="113"/>
      <c r="H1" s="114"/>
      <c r="I1" s="113"/>
      <c r="J1" s="113"/>
      <c r="K1" s="113"/>
      <c r="L1" s="113"/>
      <c r="M1" s="114"/>
      <c r="N1" s="115"/>
    </row>
    <row r="2" spans="1:14" ht="15">
      <c r="A2" s="12"/>
      <c r="B2" s="113"/>
      <c r="C2" s="113"/>
      <c r="D2" s="113"/>
      <c r="E2" s="113"/>
      <c r="F2" s="113"/>
      <c r="G2" s="112"/>
      <c r="H2" s="112"/>
      <c r="I2" s="112"/>
      <c r="J2" s="112"/>
      <c r="K2" s="112"/>
      <c r="L2" s="112"/>
      <c r="M2" s="116"/>
      <c r="N2" s="116"/>
    </row>
    <row r="3" spans="1:14" s="124" customFormat="1" ht="23.25" thickBot="1">
      <c r="A3" s="140" t="s">
        <v>90</v>
      </c>
      <c r="B3" s="126" t="s">
        <v>79</v>
      </c>
      <c r="C3" s="126" t="s">
        <v>80</v>
      </c>
      <c r="D3" s="126" t="s">
        <v>57</v>
      </c>
      <c r="E3" s="126" t="s">
        <v>81</v>
      </c>
      <c r="F3" s="126" t="s">
        <v>82</v>
      </c>
      <c r="G3" s="127" t="s">
        <v>83</v>
      </c>
      <c r="H3" s="127" t="s">
        <v>84</v>
      </c>
      <c r="I3" s="127" t="s">
        <v>85</v>
      </c>
      <c r="J3" s="127" t="s">
        <v>86</v>
      </c>
      <c r="K3" s="127" t="s">
        <v>87</v>
      </c>
      <c r="L3" s="127" t="s">
        <v>88</v>
      </c>
      <c r="M3" s="127" t="s">
        <v>89</v>
      </c>
      <c r="N3" s="126" t="s">
        <v>26</v>
      </c>
    </row>
    <row r="4" spans="1:14" ht="15">
      <c r="A4" s="54" t="s">
        <v>35</v>
      </c>
      <c r="B4" s="128">
        <v>24262</v>
      </c>
      <c r="C4" s="128">
        <v>23258</v>
      </c>
      <c r="D4" s="128">
        <v>23693</v>
      </c>
      <c r="E4" s="128">
        <v>20555</v>
      </c>
      <c r="F4" s="128">
        <v>23978</v>
      </c>
      <c r="G4" s="128">
        <v>21012</v>
      </c>
      <c r="H4" s="128">
        <v>22387</v>
      </c>
      <c r="I4" s="128">
        <v>14542</v>
      </c>
      <c r="J4" s="128">
        <v>17747</v>
      </c>
      <c r="K4" s="128">
        <v>24603</v>
      </c>
      <c r="L4" s="128">
        <v>23413</v>
      </c>
      <c r="M4" s="128">
        <v>19246</v>
      </c>
      <c r="N4" s="128">
        <v>258696</v>
      </c>
    </row>
    <row r="5" spans="1:14" ht="15">
      <c r="A5" s="55" t="s">
        <v>36</v>
      </c>
      <c r="B5" s="128">
        <v>36598</v>
      </c>
      <c r="C5" s="128">
        <v>35847</v>
      </c>
      <c r="D5" s="128">
        <v>36775</v>
      </c>
      <c r="E5" s="128">
        <v>35074</v>
      </c>
      <c r="F5" s="128">
        <v>39532</v>
      </c>
      <c r="G5" s="128">
        <v>32011</v>
      </c>
      <c r="H5" s="128">
        <v>33708</v>
      </c>
      <c r="I5" s="128">
        <v>13735</v>
      </c>
      <c r="J5" s="128">
        <v>29127</v>
      </c>
      <c r="K5" s="128">
        <v>38498</v>
      </c>
      <c r="L5" s="128">
        <v>34038</v>
      </c>
      <c r="M5" s="128">
        <v>27048</v>
      </c>
      <c r="N5" s="128">
        <v>391991</v>
      </c>
    </row>
    <row r="6" spans="1:14" ht="34.5">
      <c r="A6" s="119" t="s">
        <v>91</v>
      </c>
      <c r="B6" s="129">
        <v>0</v>
      </c>
      <c r="C6" s="129">
        <v>0</v>
      </c>
      <c r="D6" s="129">
        <v>0</v>
      </c>
      <c r="E6" s="129">
        <v>0</v>
      </c>
      <c r="F6" s="129">
        <v>0</v>
      </c>
      <c r="G6" s="146">
        <v>2869</v>
      </c>
      <c r="H6" s="146">
        <v>7920</v>
      </c>
      <c r="I6" s="146">
        <v>6898</v>
      </c>
      <c r="J6" s="147">
        <v>166</v>
      </c>
      <c r="K6" s="130">
        <v>0</v>
      </c>
      <c r="L6" s="130">
        <v>0</v>
      </c>
      <c r="M6" s="130">
        <v>0</v>
      </c>
      <c r="N6" s="146">
        <v>17853</v>
      </c>
    </row>
    <row r="7" spans="1:14" ht="24" customHeight="1">
      <c r="A7" s="121" t="s">
        <v>39</v>
      </c>
      <c r="B7" s="131">
        <f aca="true" t="shared" si="0" ref="B7:N7">SUM(B4:B6)</f>
        <v>60860</v>
      </c>
      <c r="C7" s="131">
        <f t="shared" si="0"/>
        <v>59105</v>
      </c>
      <c r="D7" s="131">
        <f t="shared" si="0"/>
        <v>60468</v>
      </c>
      <c r="E7" s="131">
        <f t="shared" si="0"/>
        <v>55629</v>
      </c>
      <c r="F7" s="131">
        <f t="shared" si="0"/>
        <v>63510</v>
      </c>
      <c r="G7" s="131">
        <f t="shared" si="0"/>
        <v>55892</v>
      </c>
      <c r="H7" s="131">
        <f t="shared" si="0"/>
        <v>64015</v>
      </c>
      <c r="I7" s="131">
        <f t="shared" si="0"/>
        <v>35175</v>
      </c>
      <c r="J7" s="131">
        <f t="shared" si="0"/>
        <v>47040</v>
      </c>
      <c r="K7" s="131">
        <f t="shared" si="0"/>
        <v>63101</v>
      </c>
      <c r="L7" s="131">
        <f t="shared" si="0"/>
        <v>57451</v>
      </c>
      <c r="M7" s="131">
        <f t="shared" si="0"/>
        <v>46294</v>
      </c>
      <c r="N7" s="131">
        <f t="shared" si="0"/>
        <v>668540</v>
      </c>
    </row>
    <row r="8" spans="1:14" ht="15">
      <c r="A8" s="54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5">
      <c r="A9" s="56" t="s">
        <v>41</v>
      </c>
      <c r="B9" s="128">
        <v>54609</v>
      </c>
      <c r="C9" s="128">
        <v>51391</v>
      </c>
      <c r="D9" s="128">
        <v>53686</v>
      </c>
      <c r="E9" s="128">
        <v>47787</v>
      </c>
      <c r="F9" s="128">
        <v>54500</v>
      </c>
      <c r="G9" s="128">
        <v>48061</v>
      </c>
      <c r="H9" s="128">
        <v>52853</v>
      </c>
      <c r="I9" s="128">
        <v>40989</v>
      </c>
      <c r="J9" s="128">
        <v>47076</v>
      </c>
      <c r="K9" s="128">
        <v>53712</v>
      </c>
      <c r="L9" s="128">
        <v>52086</v>
      </c>
      <c r="M9" s="128">
        <v>52480</v>
      </c>
      <c r="N9" s="133">
        <v>609230</v>
      </c>
    </row>
    <row r="10" spans="1:14" ht="15">
      <c r="A10" s="56" t="s">
        <v>42</v>
      </c>
      <c r="B10" s="128">
        <v>115036</v>
      </c>
      <c r="C10" s="128">
        <v>108668</v>
      </c>
      <c r="D10" s="128">
        <v>124335</v>
      </c>
      <c r="E10" s="128">
        <v>109301</v>
      </c>
      <c r="F10" s="128">
        <v>121677</v>
      </c>
      <c r="G10" s="128">
        <v>109575</v>
      </c>
      <c r="H10" s="128">
        <v>113164</v>
      </c>
      <c r="I10" s="128">
        <v>93055</v>
      </c>
      <c r="J10" s="128">
        <v>109723</v>
      </c>
      <c r="K10" s="128">
        <v>125441</v>
      </c>
      <c r="L10" s="128">
        <v>122504</v>
      </c>
      <c r="M10" s="128">
        <v>114613</v>
      </c>
      <c r="N10" s="133">
        <v>1367092</v>
      </c>
    </row>
    <row r="11" spans="1:14" ht="15">
      <c r="A11" s="56" t="s">
        <v>43</v>
      </c>
      <c r="B11" s="128">
        <v>153111</v>
      </c>
      <c r="C11" s="128">
        <v>149759</v>
      </c>
      <c r="D11" s="128">
        <v>166010</v>
      </c>
      <c r="E11" s="128">
        <v>144652</v>
      </c>
      <c r="F11" s="128">
        <v>166527</v>
      </c>
      <c r="G11" s="128">
        <v>142001</v>
      </c>
      <c r="H11" s="128">
        <v>157668</v>
      </c>
      <c r="I11" s="128">
        <v>87478</v>
      </c>
      <c r="J11" s="128">
        <v>138976</v>
      </c>
      <c r="K11" s="128">
        <v>169924</v>
      </c>
      <c r="L11" s="128">
        <v>147023</v>
      </c>
      <c r="M11" s="128">
        <v>140356</v>
      </c>
      <c r="N11" s="133">
        <v>1763485</v>
      </c>
    </row>
    <row r="12" spans="1:14" ht="15">
      <c r="A12" s="56" t="s">
        <v>44</v>
      </c>
      <c r="B12" s="128">
        <v>198945</v>
      </c>
      <c r="C12" s="128">
        <v>194677</v>
      </c>
      <c r="D12" s="128">
        <v>216749</v>
      </c>
      <c r="E12" s="128">
        <v>182559</v>
      </c>
      <c r="F12" s="128">
        <v>204883</v>
      </c>
      <c r="G12" s="128">
        <v>182001</v>
      </c>
      <c r="H12" s="128">
        <v>192424</v>
      </c>
      <c r="I12" s="128">
        <v>127598</v>
      </c>
      <c r="J12" s="128">
        <v>177498</v>
      </c>
      <c r="K12" s="128">
        <v>210727</v>
      </c>
      <c r="L12" s="128">
        <v>196464</v>
      </c>
      <c r="M12" s="128">
        <v>174609</v>
      </c>
      <c r="N12" s="133">
        <v>2259134</v>
      </c>
    </row>
    <row r="13" spans="1:14" ht="15">
      <c r="A13" s="56" t="s">
        <v>45</v>
      </c>
      <c r="B13" s="128">
        <v>91928</v>
      </c>
      <c r="C13" s="128">
        <v>88587</v>
      </c>
      <c r="D13" s="128">
        <v>89086</v>
      </c>
      <c r="E13" s="128">
        <v>85581</v>
      </c>
      <c r="F13" s="128">
        <v>90636</v>
      </c>
      <c r="G13" s="128">
        <v>81609</v>
      </c>
      <c r="H13" s="128">
        <v>87800</v>
      </c>
      <c r="I13" s="128">
        <v>75435</v>
      </c>
      <c r="J13" s="128">
        <v>83011</v>
      </c>
      <c r="K13" s="128">
        <v>93533</v>
      </c>
      <c r="L13" s="128">
        <v>91734</v>
      </c>
      <c r="M13" s="128">
        <v>85721</v>
      </c>
      <c r="N13" s="133">
        <v>1044661</v>
      </c>
    </row>
    <row r="14" spans="1:14" ht="15">
      <c r="A14" s="56" t="s">
        <v>46</v>
      </c>
      <c r="B14" s="128">
        <v>49399</v>
      </c>
      <c r="C14" s="128">
        <v>47182</v>
      </c>
      <c r="D14" s="128">
        <v>46237</v>
      </c>
      <c r="E14" s="128">
        <v>44248</v>
      </c>
      <c r="F14" s="128">
        <v>54475</v>
      </c>
      <c r="G14" s="128">
        <v>48393</v>
      </c>
      <c r="H14" s="128">
        <v>47035</v>
      </c>
      <c r="I14" s="128">
        <v>38943</v>
      </c>
      <c r="J14" s="128">
        <v>43241</v>
      </c>
      <c r="K14" s="128">
        <v>50674</v>
      </c>
      <c r="L14" s="128">
        <v>50476</v>
      </c>
      <c r="M14" s="128">
        <v>47757</v>
      </c>
      <c r="N14" s="133">
        <v>568060</v>
      </c>
    </row>
    <row r="15" spans="1:14" ht="15">
      <c r="A15" s="56" t="s">
        <v>47</v>
      </c>
      <c r="B15" s="134">
        <v>15381</v>
      </c>
      <c r="C15" s="134">
        <v>15788</v>
      </c>
      <c r="D15" s="134">
        <v>17917</v>
      </c>
      <c r="E15" s="134">
        <v>15254</v>
      </c>
      <c r="F15" s="134">
        <v>17549</v>
      </c>
      <c r="G15" s="134">
        <v>15849</v>
      </c>
      <c r="H15" s="134">
        <v>17039</v>
      </c>
      <c r="I15" s="134">
        <v>12678</v>
      </c>
      <c r="J15" s="134">
        <v>14910</v>
      </c>
      <c r="K15" s="134">
        <v>16948</v>
      </c>
      <c r="L15" s="134">
        <v>16196</v>
      </c>
      <c r="M15" s="134">
        <v>14466</v>
      </c>
      <c r="N15" s="133">
        <v>189975</v>
      </c>
    </row>
    <row r="16" spans="1:14" ht="15">
      <c r="A16" s="55" t="s">
        <v>48</v>
      </c>
      <c r="B16" s="135">
        <v>206272</v>
      </c>
      <c r="C16" s="135">
        <v>192113</v>
      </c>
      <c r="D16" s="135">
        <v>245483</v>
      </c>
      <c r="E16" s="135">
        <v>225570</v>
      </c>
      <c r="F16" s="135">
        <v>253268</v>
      </c>
      <c r="G16" s="135">
        <v>262887</v>
      </c>
      <c r="H16" s="135">
        <v>287024</v>
      </c>
      <c r="I16" s="135">
        <v>252541</v>
      </c>
      <c r="J16" s="135">
        <v>245923</v>
      </c>
      <c r="K16" s="135">
        <v>269664</v>
      </c>
      <c r="L16" s="135">
        <v>247316</v>
      </c>
      <c r="M16" s="135">
        <v>225019</v>
      </c>
      <c r="N16" s="133">
        <v>2913080</v>
      </c>
    </row>
    <row r="17" spans="1:14" ht="15">
      <c r="A17" s="55" t="s">
        <v>49</v>
      </c>
      <c r="B17" s="128">
        <v>163623</v>
      </c>
      <c r="C17" s="128">
        <v>163974</v>
      </c>
      <c r="D17" s="128">
        <v>162359</v>
      </c>
      <c r="E17" s="128">
        <v>137103</v>
      </c>
      <c r="F17" s="128">
        <v>157288</v>
      </c>
      <c r="G17" s="128">
        <v>128224</v>
      </c>
      <c r="H17" s="128">
        <v>127939</v>
      </c>
      <c r="I17" s="128">
        <v>95871</v>
      </c>
      <c r="J17" s="128">
        <v>134268</v>
      </c>
      <c r="K17" s="128">
        <v>167716</v>
      </c>
      <c r="L17" s="128">
        <v>154872</v>
      </c>
      <c r="M17" s="128">
        <v>134699</v>
      </c>
      <c r="N17" s="133">
        <v>1727936</v>
      </c>
    </row>
    <row r="18" spans="1:14" ht="15">
      <c r="A18" s="54" t="s">
        <v>50</v>
      </c>
      <c r="B18" s="128">
        <v>59752</v>
      </c>
      <c r="C18" s="128">
        <v>56622</v>
      </c>
      <c r="D18" s="128">
        <v>60158</v>
      </c>
      <c r="E18" s="128">
        <v>61012</v>
      </c>
      <c r="F18" s="128">
        <v>65483</v>
      </c>
      <c r="G18" s="128">
        <v>63203</v>
      </c>
      <c r="H18" s="128">
        <v>69432</v>
      </c>
      <c r="I18" s="128">
        <v>67802</v>
      </c>
      <c r="J18" s="128">
        <v>64408</v>
      </c>
      <c r="K18" s="128">
        <v>65795</v>
      </c>
      <c r="L18" s="128">
        <v>61755</v>
      </c>
      <c r="M18" s="128">
        <v>61207</v>
      </c>
      <c r="N18" s="133">
        <v>756629</v>
      </c>
    </row>
    <row r="19" spans="1:14" ht="23.25">
      <c r="A19" s="122" t="s">
        <v>58</v>
      </c>
      <c r="B19" s="136">
        <f aca="true" t="shared" si="1" ref="B19:H19">SUM(B9:B18)</f>
        <v>1108056</v>
      </c>
      <c r="C19" s="136">
        <f t="shared" si="1"/>
        <v>1068761</v>
      </c>
      <c r="D19" s="136">
        <f t="shared" si="1"/>
        <v>1182020</v>
      </c>
      <c r="E19" s="136">
        <f t="shared" si="1"/>
        <v>1053067</v>
      </c>
      <c r="F19" s="136">
        <f t="shared" si="1"/>
        <v>1186286</v>
      </c>
      <c r="G19" s="136">
        <f t="shared" si="1"/>
        <v>1081803</v>
      </c>
      <c r="H19" s="136">
        <f t="shared" si="1"/>
        <v>1152378</v>
      </c>
      <c r="I19" s="136">
        <f aca="true" t="shared" si="2" ref="I19:N19">SUM(I9:I18)</f>
        <v>892390</v>
      </c>
      <c r="J19" s="136">
        <f t="shared" si="2"/>
        <v>1059034</v>
      </c>
      <c r="K19" s="136">
        <f t="shared" si="2"/>
        <v>1224134</v>
      </c>
      <c r="L19" s="136">
        <f t="shared" si="2"/>
        <v>1140426</v>
      </c>
      <c r="M19" s="136">
        <f t="shared" si="2"/>
        <v>1050927</v>
      </c>
      <c r="N19" s="136">
        <f t="shared" si="2"/>
        <v>13199282</v>
      </c>
    </row>
    <row r="20" spans="1:14" ht="15">
      <c r="A20" s="120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8"/>
      <c r="N20" s="138"/>
    </row>
    <row r="21" spans="1:14" ht="15">
      <c r="A21" s="55" t="s">
        <v>52</v>
      </c>
      <c r="B21" s="128">
        <v>38735</v>
      </c>
      <c r="C21" s="128">
        <v>36369</v>
      </c>
      <c r="D21" s="128">
        <v>42355</v>
      </c>
      <c r="E21" s="128">
        <v>41348</v>
      </c>
      <c r="F21" s="128">
        <v>46522</v>
      </c>
      <c r="G21" s="128">
        <v>50890</v>
      </c>
      <c r="H21" s="128">
        <v>53638</v>
      </c>
      <c r="I21" s="128">
        <v>60626</v>
      </c>
      <c r="J21" s="128">
        <v>49683</v>
      </c>
      <c r="K21" s="128">
        <v>44695</v>
      </c>
      <c r="L21" s="128">
        <v>40854</v>
      </c>
      <c r="M21" s="128">
        <v>46303</v>
      </c>
      <c r="N21" s="133">
        <v>552018</v>
      </c>
    </row>
    <row r="22" spans="1:14" ht="15">
      <c r="A22" s="55" t="s">
        <v>53</v>
      </c>
      <c r="B22" s="128">
        <v>36449</v>
      </c>
      <c r="C22" s="128">
        <v>33563</v>
      </c>
      <c r="D22" s="128">
        <v>39821</v>
      </c>
      <c r="E22" s="128">
        <v>40027</v>
      </c>
      <c r="F22" s="128">
        <v>42845</v>
      </c>
      <c r="G22" s="128">
        <v>47938</v>
      </c>
      <c r="H22" s="128">
        <v>51931</v>
      </c>
      <c r="I22" s="128">
        <v>55745</v>
      </c>
      <c r="J22" s="128">
        <v>47244</v>
      </c>
      <c r="K22" s="128">
        <v>40288</v>
      </c>
      <c r="L22" s="128">
        <v>37232</v>
      </c>
      <c r="M22" s="128">
        <v>39898</v>
      </c>
      <c r="N22" s="133">
        <v>512981</v>
      </c>
    </row>
    <row r="23" spans="1:14" s="124" customFormat="1" ht="22.5">
      <c r="A23" s="123" t="s">
        <v>59</v>
      </c>
      <c r="B23" s="136">
        <f aca="true" t="shared" si="3" ref="B23:H23">SUM(B21:B22)</f>
        <v>75184</v>
      </c>
      <c r="C23" s="136">
        <f t="shared" si="3"/>
        <v>69932</v>
      </c>
      <c r="D23" s="136">
        <f t="shared" si="3"/>
        <v>82176</v>
      </c>
      <c r="E23" s="136">
        <f t="shared" si="3"/>
        <v>81375</v>
      </c>
      <c r="F23" s="136">
        <f t="shared" si="3"/>
        <v>89367</v>
      </c>
      <c r="G23" s="136">
        <f t="shared" si="3"/>
        <v>98828</v>
      </c>
      <c r="H23" s="136">
        <f t="shared" si="3"/>
        <v>105569</v>
      </c>
      <c r="I23" s="136">
        <f aca="true" t="shared" si="4" ref="I23:N23">SUM(I21:I22)</f>
        <v>116371</v>
      </c>
      <c r="J23" s="136">
        <f t="shared" si="4"/>
        <v>96927</v>
      </c>
      <c r="K23" s="136">
        <f t="shared" si="4"/>
        <v>84983</v>
      </c>
      <c r="L23" s="136">
        <f t="shared" si="4"/>
        <v>78086</v>
      </c>
      <c r="M23" s="136">
        <f t="shared" si="4"/>
        <v>86201</v>
      </c>
      <c r="N23" s="136">
        <f t="shared" si="4"/>
        <v>1064999</v>
      </c>
    </row>
    <row r="24" spans="1:14" s="124" customFormat="1" ht="15">
      <c r="A24" s="12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4" s="124" customFormat="1" ht="15">
      <c r="A25" s="125" t="s">
        <v>60</v>
      </c>
      <c r="B25" s="136">
        <f>SUM(B7,B19,B23)</f>
        <v>1244100</v>
      </c>
      <c r="C25" s="136">
        <f aca="true" t="shared" si="5" ref="C25:H25">SUM(C4:C22)</f>
        <v>2325664</v>
      </c>
      <c r="D25" s="136">
        <f t="shared" si="5"/>
        <v>2567152</v>
      </c>
      <c r="E25" s="136">
        <f t="shared" si="5"/>
        <v>2298767</v>
      </c>
      <c r="F25" s="136">
        <f t="shared" si="5"/>
        <v>2588959</v>
      </c>
      <c r="G25" s="136">
        <f t="shared" si="5"/>
        <v>2374218</v>
      </c>
      <c r="H25" s="136">
        <f t="shared" si="5"/>
        <v>2538355</v>
      </c>
      <c r="I25" s="136">
        <f>I7+I19+I23</f>
        <v>1043936</v>
      </c>
      <c r="J25" s="136">
        <f>J7+J19+J23</f>
        <v>1203001</v>
      </c>
      <c r="K25" s="136">
        <f>K7+K19+K23</f>
        <v>1372218</v>
      </c>
      <c r="L25" s="136">
        <f>L7+L19+L23</f>
        <v>1275963</v>
      </c>
      <c r="M25" s="136">
        <f>M7+M19+M23</f>
        <v>1183422</v>
      </c>
      <c r="N25" s="136">
        <f>N7+N19+N23</f>
        <v>14932821</v>
      </c>
    </row>
    <row r="26" spans="1:14" s="124" customFormat="1" ht="15.75" thickBot="1">
      <c r="A26" s="126" t="s">
        <v>61</v>
      </c>
      <c r="B26" s="139">
        <f>B25/31</f>
        <v>40132.25806451613</v>
      </c>
      <c r="C26" s="139">
        <f>C25/28</f>
        <v>83059.42857142857</v>
      </c>
      <c r="D26" s="139">
        <f>D25/31</f>
        <v>82811.35483870968</v>
      </c>
      <c r="E26" s="139">
        <f>E25/30</f>
        <v>76625.56666666667</v>
      </c>
      <c r="F26" s="139">
        <f>F25/31</f>
        <v>83514.80645161291</v>
      </c>
      <c r="G26" s="139">
        <f>G25/30</f>
        <v>79140.6</v>
      </c>
      <c r="H26" s="139">
        <f>H25/31</f>
        <v>81882.41935483871</v>
      </c>
      <c r="I26" s="139">
        <f>I25/31</f>
        <v>33675.354838709674</v>
      </c>
      <c r="J26" s="139">
        <f>J25/30</f>
        <v>40100.03333333333</v>
      </c>
      <c r="K26" s="139">
        <f>K25/31</f>
        <v>44265.096774193546</v>
      </c>
      <c r="L26" s="139">
        <f>L25/30</f>
        <v>42532.1</v>
      </c>
      <c r="M26" s="139">
        <f>M25/31</f>
        <v>38174.903225806454</v>
      </c>
      <c r="N26" s="139">
        <f>N25/365</f>
        <v>40911.838356164386</v>
      </c>
    </row>
    <row r="27" spans="1:14" ht="9.75" customHeight="1">
      <c r="A27" s="57" t="s">
        <v>62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5">
      <c r="A28" s="31" t="s">
        <v>63</v>
      </c>
      <c r="B28" s="113"/>
      <c r="C28" s="113"/>
      <c r="D28" s="113"/>
      <c r="E28" s="113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14" ht="15">
      <c r="A29" s="79" t="s">
        <v>74</v>
      </c>
      <c r="B29" s="113"/>
      <c r="C29" s="113"/>
      <c r="D29" s="113"/>
      <c r="E29" s="113"/>
      <c r="F29" s="114"/>
      <c r="G29" s="117"/>
      <c r="H29" s="114"/>
      <c r="I29" s="114"/>
      <c r="J29" s="114"/>
      <c r="K29" s="114"/>
      <c r="L29" s="114"/>
      <c r="M29" s="114"/>
      <c r="N29" s="114"/>
    </row>
    <row r="30" spans="2:14" ht="1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</sheetData>
  <sheetProtection/>
  <hyperlinks>
    <hyperlink ref="A29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ignoredErrors>
    <ignoredError sqref="C26 E26 G26 J26 L26 F26:F27" formula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2"/>
  <sheetViews>
    <sheetView showGridLines="0" view="pageLayout" workbookViewId="0" topLeftCell="A1">
      <selection activeCell="E18" sqref="E18"/>
    </sheetView>
  </sheetViews>
  <sheetFormatPr defaultColWidth="11.421875" defaultRowHeight="15"/>
  <cols>
    <col min="1" max="1" width="8.7109375" style="0" customWidth="1"/>
    <col min="2" max="13" width="9.140625" style="118" bestFit="1" customWidth="1"/>
    <col min="14" max="14" width="10.00390625" style="118" bestFit="1" customWidth="1"/>
  </cols>
  <sheetData>
    <row r="1" ht="15">
      <c r="A1" s="44" t="s">
        <v>117</v>
      </c>
    </row>
    <row r="2" ht="15">
      <c r="A2" s="44"/>
    </row>
    <row r="3" spans="1:15" ht="23.25" thickBot="1">
      <c r="A3" s="163" t="s">
        <v>90</v>
      </c>
      <c r="B3" s="165" t="s">
        <v>94</v>
      </c>
      <c r="C3" s="165" t="s">
        <v>95</v>
      </c>
      <c r="D3" s="165" t="s">
        <v>96</v>
      </c>
      <c r="E3" s="161"/>
      <c r="G3" s="161"/>
      <c r="H3" s="162"/>
      <c r="I3" s="162"/>
      <c r="J3" s="162"/>
      <c r="K3" s="162"/>
      <c r="L3" s="162"/>
      <c r="M3" s="162"/>
      <c r="N3" s="162"/>
      <c r="O3" s="161"/>
    </row>
    <row r="4" spans="1:15" ht="15">
      <c r="A4" s="164" t="s">
        <v>79</v>
      </c>
      <c r="B4" s="166" t="s">
        <v>114</v>
      </c>
      <c r="C4" s="166" t="s">
        <v>114</v>
      </c>
      <c r="D4" s="166" t="s">
        <v>114</v>
      </c>
      <c r="E4" s="161"/>
      <c r="G4" s="161"/>
      <c r="H4" s="162"/>
      <c r="I4" s="162"/>
      <c r="J4" s="162"/>
      <c r="K4" s="162"/>
      <c r="L4" s="162"/>
      <c r="M4" s="162"/>
      <c r="N4" s="162"/>
      <c r="O4" s="161"/>
    </row>
    <row r="5" spans="1:15" ht="15">
      <c r="A5" s="164" t="s">
        <v>80</v>
      </c>
      <c r="B5" s="166">
        <v>1321</v>
      </c>
      <c r="C5" s="166">
        <v>1407</v>
      </c>
      <c r="D5" s="166">
        <v>1908</v>
      </c>
      <c r="E5" s="161"/>
      <c r="G5" s="161"/>
      <c r="H5" s="162"/>
      <c r="I5" s="162"/>
      <c r="J5" s="162"/>
      <c r="K5" s="162"/>
      <c r="L5" s="162"/>
      <c r="M5" s="162"/>
      <c r="N5" s="162"/>
      <c r="O5" s="161"/>
    </row>
    <row r="6" spans="1:15" ht="15">
      <c r="A6" s="164" t="s">
        <v>57</v>
      </c>
      <c r="B6" s="166">
        <v>17021</v>
      </c>
      <c r="C6" s="166">
        <v>21034</v>
      </c>
      <c r="D6" s="166">
        <v>22469</v>
      </c>
      <c r="E6" s="161"/>
      <c r="G6" s="161"/>
      <c r="H6" s="162"/>
      <c r="I6" s="162"/>
      <c r="J6" s="162"/>
      <c r="K6" s="162"/>
      <c r="L6" s="162"/>
      <c r="M6" s="162"/>
      <c r="N6" s="162"/>
      <c r="O6" s="161"/>
    </row>
    <row r="7" spans="1:15" ht="15">
      <c r="A7" s="164" t="s">
        <v>81</v>
      </c>
      <c r="B7" s="166">
        <v>18452</v>
      </c>
      <c r="C7" s="166">
        <v>24256</v>
      </c>
      <c r="D7" s="166">
        <v>20226</v>
      </c>
      <c r="E7" s="161"/>
      <c r="G7" s="161"/>
      <c r="H7" s="162"/>
      <c r="I7" s="162"/>
      <c r="J7" s="162"/>
      <c r="K7" s="162"/>
      <c r="L7" s="162"/>
      <c r="M7" s="162"/>
      <c r="N7" s="162"/>
      <c r="O7" s="161"/>
    </row>
    <row r="8" spans="1:15" ht="15">
      <c r="A8" s="164" t="s">
        <v>82</v>
      </c>
      <c r="B8" s="166">
        <v>19248</v>
      </c>
      <c r="C8" s="166">
        <v>27175</v>
      </c>
      <c r="D8" s="166">
        <v>24944</v>
      </c>
      <c r="E8" s="161"/>
      <c r="G8" s="161"/>
      <c r="H8" s="162"/>
      <c r="I8" s="162"/>
      <c r="J8" s="162"/>
      <c r="K8" s="162"/>
      <c r="L8" s="162"/>
      <c r="M8" s="162"/>
      <c r="N8" s="162"/>
      <c r="O8" s="161"/>
    </row>
    <row r="9" spans="1:15" ht="15">
      <c r="A9" s="164" t="s">
        <v>83</v>
      </c>
      <c r="B9" s="166">
        <v>14135</v>
      </c>
      <c r="C9" s="166">
        <v>20459</v>
      </c>
      <c r="D9" s="166">
        <v>18677</v>
      </c>
      <c r="E9" s="161"/>
      <c r="G9" s="161"/>
      <c r="H9" s="162"/>
      <c r="I9" s="162"/>
      <c r="J9" s="162"/>
      <c r="K9" s="162"/>
      <c r="L9" s="162"/>
      <c r="M9" s="162"/>
      <c r="N9" s="162"/>
      <c r="O9" s="161"/>
    </row>
    <row r="10" spans="1:15" ht="15">
      <c r="A10" s="164" t="s">
        <v>84</v>
      </c>
      <c r="B10" s="166">
        <v>18752</v>
      </c>
      <c r="C10" s="166">
        <v>25671</v>
      </c>
      <c r="D10" s="166">
        <v>20091</v>
      </c>
      <c r="E10" s="161"/>
      <c r="G10" s="161"/>
      <c r="H10" s="162"/>
      <c r="I10" s="162"/>
      <c r="J10" s="162"/>
      <c r="K10" s="162"/>
      <c r="L10" s="162"/>
      <c r="M10" s="162"/>
      <c r="N10" s="162"/>
      <c r="O10" s="161"/>
    </row>
    <row r="11" spans="1:15" ht="15">
      <c r="A11" s="164" t="s">
        <v>85</v>
      </c>
      <c r="B11" s="166">
        <v>232</v>
      </c>
      <c r="C11" s="166">
        <v>0</v>
      </c>
      <c r="D11" s="166">
        <v>118</v>
      </c>
      <c r="E11" s="161"/>
      <c r="G11" s="161"/>
      <c r="H11" s="162"/>
      <c r="I11" s="162"/>
      <c r="J11" s="162"/>
      <c r="K11" s="162"/>
      <c r="L11" s="162"/>
      <c r="M11" s="162"/>
      <c r="N11" s="162"/>
      <c r="O11" s="161"/>
    </row>
    <row r="12" spans="1:15" ht="15">
      <c r="A12" s="164" t="s">
        <v>86</v>
      </c>
      <c r="B12" s="166">
        <v>16490</v>
      </c>
      <c r="C12" s="166">
        <v>21068</v>
      </c>
      <c r="D12" s="166">
        <v>18458</v>
      </c>
      <c r="E12" s="161"/>
      <c r="G12" s="161"/>
      <c r="H12" s="162"/>
      <c r="I12" s="162"/>
      <c r="J12" s="162"/>
      <c r="K12" s="162"/>
      <c r="L12" s="162"/>
      <c r="M12" s="162"/>
      <c r="N12" s="162"/>
      <c r="O12" s="161"/>
    </row>
    <row r="13" spans="1:15" ht="15">
      <c r="A13" s="164" t="s">
        <v>87</v>
      </c>
      <c r="B13" s="166">
        <v>23811</v>
      </c>
      <c r="C13" s="166">
        <v>31096</v>
      </c>
      <c r="D13" s="166">
        <v>24339</v>
      </c>
      <c r="E13" s="161"/>
      <c r="G13" s="161"/>
      <c r="H13" s="162"/>
      <c r="I13" s="162"/>
      <c r="J13" s="162"/>
      <c r="K13" s="162"/>
      <c r="L13" s="162"/>
      <c r="M13" s="162"/>
      <c r="N13" s="162"/>
      <c r="O13" s="161"/>
    </row>
    <row r="14" spans="1:15" ht="15">
      <c r="A14" s="164" t="s">
        <v>88</v>
      </c>
      <c r="B14" s="166">
        <v>23290</v>
      </c>
      <c r="C14" s="166">
        <v>29331</v>
      </c>
      <c r="D14" s="166">
        <v>21847</v>
      </c>
      <c r="E14" s="161"/>
      <c r="G14" s="161"/>
      <c r="H14" s="162"/>
      <c r="I14" s="162"/>
      <c r="J14" s="162"/>
      <c r="K14" s="162"/>
      <c r="L14" s="162"/>
      <c r="M14" s="162"/>
      <c r="N14" s="162"/>
      <c r="O14" s="161"/>
    </row>
    <row r="15" spans="1:15" ht="15">
      <c r="A15" s="164" t="s">
        <v>89</v>
      </c>
      <c r="B15" s="166">
        <v>21408</v>
      </c>
      <c r="C15" s="166">
        <v>25760</v>
      </c>
      <c r="D15" s="166">
        <v>19442</v>
      </c>
      <c r="E15" s="161"/>
      <c r="G15" s="161"/>
      <c r="H15" s="162"/>
      <c r="I15" s="162"/>
      <c r="J15" s="162"/>
      <c r="K15" s="162"/>
      <c r="L15" s="162"/>
      <c r="M15" s="162"/>
      <c r="N15" s="162"/>
      <c r="O15" s="161"/>
    </row>
    <row r="16" spans="1:15" ht="15.75" thickBot="1">
      <c r="A16" s="163" t="s">
        <v>26</v>
      </c>
      <c r="B16" s="165">
        <v>174160</v>
      </c>
      <c r="C16" s="165">
        <v>227257</v>
      </c>
      <c r="D16" s="165">
        <v>192519</v>
      </c>
      <c r="E16" s="161"/>
      <c r="G16" s="161"/>
      <c r="H16" s="162"/>
      <c r="I16" s="162"/>
      <c r="J16" s="162"/>
      <c r="K16" s="162"/>
      <c r="L16" s="162"/>
      <c r="M16" s="162"/>
      <c r="N16" s="162"/>
      <c r="O16" s="161"/>
    </row>
    <row r="17" spans="1:15" ht="15">
      <c r="A17" s="57" t="s">
        <v>62</v>
      </c>
      <c r="B17" s="52"/>
      <c r="C17" s="52"/>
      <c r="D17" s="52"/>
      <c r="E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5">
      <c r="A18" s="79" t="s">
        <v>74</v>
      </c>
      <c r="B18" s="113"/>
      <c r="C18" s="113"/>
      <c r="D18" s="113"/>
      <c r="E18" s="113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3:15" ht="15">
      <c r="C19" s="113"/>
      <c r="D19" s="113"/>
      <c r="E19" s="113"/>
      <c r="F19" s="113"/>
      <c r="G19" s="114"/>
      <c r="H19" s="117"/>
      <c r="I19" s="114"/>
      <c r="J19" s="114"/>
      <c r="K19" s="114"/>
      <c r="L19" s="114"/>
      <c r="M19" s="114"/>
      <c r="N19" s="114"/>
      <c r="O19" s="114"/>
    </row>
    <row r="21" ht="15"/>
    <row r="22" ht="15"/>
    <row r="23" ht="15"/>
    <row r="24" ht="15"/>
    <row r="29" spans="1:15" s="124" customFormat="1" ht="15">
      <c r="A29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/>
    </row>
    <row r="30" spans="1:15" s="124" customFormat="1" ht="15">
      <c r="A30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/>
    </row>
    <row r="31" spans="1:15" s="124" customFormat="1" ht="15">
      <c r="A31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/>
    </row>
    <row r="32" spans="1:15" s="124" customFormat="1" ht="15">
      <c r="A32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/>
    </row>
    <row r="33" ht="9.75" customHeight="1"/>
  </sheetData>
  <sheetProtection/>
  <hyperlinks>
    <hyperlink ref="A18" location="Í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showGridLines="0" view="pageLayout" workbookViewId="0" topLeftCell="A1">
      <selection activeCell="G17" sqref="G17"/>
    </sheetView>
  </sheetViews>
  <sheetFormatPr defaultColWidth="11.421875" defaultRowHeight="15"/>
  <cols>
    <col min="1" max="1" width="16.00390625" style="0" customWidth="1"/>
    <col min="2" max="2" width="6.57421875" style="70" customWidth="1"/>
    <col min="3" max="6" width="5.00390625" style="70" bestFit="1" customWidth="1"/>
    <col min="7" max="11" width="5.00390625" style="0" bestFit="1" customWidth="1"/>
  </cols>
  <sheetData>
    <row r="1" ht="15">
      <c r="A1" s="67" t="s">
        <v>120</v>
      </c>
    </row>
    <row r="2" ht="15">
      <c r="A2" s="67" t="s">
        <v>105</v>
      </c>
    </row>
    <row r="3" ht="15">
      <c r="A3" s="160" t="s">
        <v>116</v>
      </c>
    </row>
    <row r="5" spans="1:10" ht="15.75" thickBot="1">
      <c r="A5" s="94"/>
      <c r="B5" s="92">
        <v>2010</v>
      </c>
      <c r="C5" s="92">
        <v>2011</v>
      </c>
      <c r="D5" s="92">
        <v>2012</v>
      </c>
      <c r="E5" s="92">
        <v>2013</v>
      </c>
      <c r="F5" s="93">
        <v>2014</v>
      </c>
      <c r="G5" s="93">
        <v>2015</v>
      </c>
      <c r="H5" s="93">
        <v>2016</v>
      </c>
      <c r="I5" s="93">
        <v>2017</v>
      </c>
      <c r="J5" s="93">
        <v>2018</v>
      </c>
    </row>
    <row r="6" spans="1:10" ht="15">
      <c r="A6" s="2" t="s">
        <v>100</v>
      </c>
      <c r="B6" s="96">
        <v>1</v>
      </c>
      <c r="C6" s="96">
        <v>3</v>
      </c>
      <c r="D6" s="96">
        <v>3</v>
      </c>
      <c r="E6" s="96">
        <v>2</v>
      </c>
      <c r="F6" s="96">
        <v>1</v>
      </c>
      <c r="G6" s="96">
        <v>2</v>
      </c>
      <c r="H6" s="96">
        <v>1</v>
      </c>
      <c r="I6" s="96">
        <v>3</v>
      </c>
      <c r="J6" s="96" t="s">
        <v>114</v>
      </c>
    </row>
    <row r="7" spans="1:10" ht="15">
      <c r="A7" s="2" t="s">
        <v>112</v>
      </c>
      <c r="B7" s="96">
        <v>4</v>
      </c>
      <c r="C7" s="96">
        <v>1</v>
      </c>
      <c r="D7" s="96">
        <v>1</v>
      </c>
      <c r="E7" s="96">
        <v>7</v>
      </c>
      <c r="F7" s="96">
        <v>8</v>
      </c>
      <c r="G7" s="96">
        <v>5</v>
      </c>
      <c r="H7" s="96">
        <v>2</v>
      </c>
      <c r="I7" s="96">
        <v>3</v>
      </c>
      <c r="J7" s="96">
        <v>4</v>
      </c>
    </row>
    <row r="8" spans="1:10" ht="15">
      <c r="A8" s="2" t="s">
        <v>113</v>
      </c>
      <c r="B8" s="96">
        <v>5</v>
      </c>
      <c r="C8" s="96">
        <v>4</v>
      </c>
      <c r="D8" s="96">
        <v>4</v>
      </c>
      <c r="E8" s="96">
        <v>9</v>
      </c>
      <c r="F8" s="96">
        <v>9</v>
      </c>
      <c r="G8" s="96">
        <v>7</v>
      </c>
      <c r="H8" s="96">
        <v>3</v>
      </c>
      <c r="I8" s="96">
        <v>6</v>
      </c>
      <c r="J8" s="96">
        <v>4</v>
      </c>
    </row>
    <row r="9" spans="1:10" ht="15.75" thickBot="1">
      <c r="A9" s="91"/>
      <c r="B9" s="97"/>
      <c r="C9" s="97"/>
      <c r="D9" s="97"/>
      <c r="E9" s="97"/>
      <c r="F9" s="97"/>
      <c r="G9" s="97"/>
      <c r="H9" s="97"/>
      <c r="I9" s="97"/>
      <c r="J9" s="97"/>
    </row>
    <row r="10" spans="1:6" ht="15">
      <c r="A10" s="68" t="s">
        <v>110</v>
      </c>
      <c r="B10" s="95"/>
      <c r="C10" s="95"/>
      <c r="D10" s="95"/>
      <c r="E10" s="95"/>
      <c r="F10" s="95"/>
    </row>
    <row r="11" ht="15">
      <c r="A11" s="79" t="s">
        <v>74</v>
      </c>
    </row>
    <row r="12" ht="15"/>
    <row r="13" ht="15"/>
    <row r="14" ht="15"/>
    <row r="15" ht="15">
      <c r="B15" s="159"/>
    </row>
  </sheetData>
  <sheetProtection/>
  <hyperlinks>
    <hyperlink ref="A11" location="Índex!A1" display="Índex"/>
  </hyperlink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showGridLines="0" view="pageLayout" workbookViewId="0" topLeftCell="A1">
      <selection activeCell="A17" sqref="A17"/>
    </sheetView>
  </sheetViews>
  <sheetFormatPr defaultColWidth="11.421875" defaultRowHeight="15"/>
  <cols>
    <col min="1" max="1" width="22.421875" style="0" customWidth="1"/>
    <col min="2" max="2" width="5.7109375" style="70" customWidth="1"/>
    <col min="3" max="6" width="5.00390625" style="70" bestFit="1" customWidth="1"/>
    <col min="7" max="11" width="5.00390625" style="0" bestFit="1" customWidth="1"/>
  </cols>
  <sheetData>
    <row r="1" ht="15">
      <c r="A1" s="67" t="s">
        <v>121</v>
      </c>
    </row>
    <row r="2" ht="15">
      <c r="A2" s="160" t="s">
        <v>116</v>
      </c>
    </row>
    <row r="4" spans="1:10" ht="15.75" thickBot="1">
      <c r="A4" s="94"/>
      <c r="B4" s="92">
        <v>2010</v>
      </c>
      <c r="C4" s="92">
        <v>2011</v>
      </c>
      <c r="D4" s="92">
        <v>2012</v>
      </c>
      <c r="E4" s="92">
        <v>2013</v>
      </c>
      <c r="F4" s="93">
        <v>2014</v>
      </c>
      <c r="G4" s="93">
        <v>2015</v>
      </c>
      <c r="H4" s="93">
        <v>2016</v>
      </c>
      <c r="I4" s="93">
        <v>2017</v>
      </c>
      <c r="J4" s="93">
        <v>2018</v>
      </c>
    </row>
    <row r="5" spans="1:10" ht="15">
      <c r="A5" s="2" t="s">
        <v>106</v>
      </c>
      <c r="B5" s="96">
        <v>1</v>
      </c>
      <c r="C5" s="96">
        <v>1</v>
      </c>
      <c r="D5" s="96">
        <v>0</v>
      </c>
      <c r="E5" s="96">
        <v>0</v>
      </c>
      <c r="F5" s="96">
        <v>1</v>
      </c>
      <c r="G5" s="96">
        <v>2</v>
      </c>
      <c r="H5" s="96">
        <v>0</v>
      </c>
      <c r="I5" s="96">
        <v>2</v>
      </c>
      <c r="J5" s="96">
        <v>2</v>
      </c>
    </row>
    <row r="6" spans="1:10" ht="15">
      <c r="A6" s="2" t="s">
        <v>107</v>
      </c>
      <c r="B6" s="96">
        <v>5</v>
      </c>
      <c r="C6" s="96">
        <v>5</v>
      </c>
      <c r="D6" s="96">
        <v>6</v>
      </c>
      <c r="E6" s="96">
        <v>10</v>
      </c>
      <c r="F6" s="96">
        <v>9</v>
      </c>
      <c r="G6" s="96">
        <v>6</v>
      </c>
      <c r="H6" s="96">
        <v>3</v>
      </c>
      <c r="I6" s="96">
        <v>7</v>
      </c>
      <c r="J6" s="96">
        <v>4</v>
      </c>
    </row>
    <row r="7" spans="1:10" ht="15">
      <c r="A7" s="2" t="s">
        <v>108</v>
      </c>
      <c r="B7" s="96">
        <v>0</v>
      </c>
      <c r="C7" s="96">
        <v>0</v>
      </c>
      <c r="D7" s="96">
        <v>0</v>
      </c>
      <c r="E7" s="96">
        <v>1</v>
      </c>
      <c r="F7" s="96">
        <v>0</v>
      </c>
      <c r="G7" s="96">
        <v>1</v>
      </c>
      <c r="H7" s="96">
        <v>0</v>
      </c>
      <c r="I7" s="96">
        <v>0</v>
      </c>
      <c r="J7" s="96">
        <v>0</v>
      </c>
    </row>
    <row r="8" spans="1:10" ht="15.75" thickBot="1">
      <c r="A8" s="91" t="s">
        <v>109</v>
      </c>
      <c r="B8" s="97">
        <v>6</v>
      </c>
      <c r="C8" s="97">
        <v>6</v>
      </c>
      <c r="D8" s="97">
        <v>6</v>
      </c>
      <c r="E8" s="97">
        <v>11</v>
      </c>
      <c r="F8" s="97">
        <v>10</v>
      </c>
      <c r="G8" s="97">
        <v>9</v>
      </c>
      <c r="H8" s="97">
        <v>3</v>
      </c>
      <c r="I8" s="97">
        <v>9</v>
      </c>
      <c r="J8" s="97">
        <v>6</v>
      </c>
    </row>
    <row r="9" spans="1:6" ht="15">
      <c r="A9" s="68" t="s">
        <v>110</v>
      </c>
      <c r="B9" s="95"/>
      <c r="C9" s="95"/>
      <c r="D9" s="95"/>
      <c r="E9" s="95"/>
      <c r="F9" s="95"/>
    </row>
    <row r="10" ht="15">
      <c r="A10" s="79" t="s">
        <v>74</v>
      </c>
    </row>
    <row r="13" ht="15"/>
    <row r="14" ht="15"/>
    <row r="15" ht="15">
      <c r="B15" s="159"/>
    </row>
  </sheetData>
  <sheetProtection/>
  <hyperlinks>
    <hyperlink ref="A10" location="Índex!A1" display="Índex"/>
  </hyperlink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